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24226"/>
  <mc:AlternateContent xmlns:mc="http://schemas.openxmlformats.org/markup-compatibility/2006">
    <mc:Choice Requires="x15">
      <x15ac:absPath xmlns:x15ac="http://schemas.microsoft.com/office/spreadsheetml/2010/11/ac" url="C:\Users\daniela.betancur\Desktop\DESur1\2025\ORDEN DE COMPRA\DESur-OC-63-2025 Interventoria parque Copa\"/>
    </mc:Choice>
  </mc:AlternateContent>
  <xr:revisionPtr revIDLastSave="0" documentId="13_ncr:1_{EAA2FF04-A84B-4EAB-8656-F065F135D1A3}" xr6:coauthVersionLast="47" xr6:coauthVersionMax="47" xr10:uidLastSave="{00000000-0000-0000-0000-000000000000}"/>
  <bookViews>
    <workbookView xWindow="-120" yWindow="-120" windowWidth="29040" windowHeight="15840" tabRatio="875" firstSheet="1" activeTab="1" xr2:uid="{B34EC177-8171-4FC7-8714-44D46D6FE53B}"/>
  </bookViews>
  <sheets>
    <sheet name="CALCULO AU" sheetId="11" state="hidden" r:id="rId1"/>
    <sheet name="INTERVENTORÍA" sheetId="26" r:id="rId2"/>
    <sheet name="PRESUPUESTO" sheetId="1" state="hidden" r:id="rId3"/>
    <sheet name="FACTOR MULTIPLICADOR" sheetId="27" r:id="rId4"/>
    <sheet name="MEMORIAS CANT" sheetId="3" state="hidden" r:id="rId5"/>
    <sheet name="1. APU PRELIMINARES" sheetId="21" state="hidden" r:id="rId6"/>
    <sheet name="2. APU EXCAVACIONES" sheetId="22" state="hidden" r:id="rId7"/>
    <sheet name="3. APU CONCRETOS" sheetId="19" state="hidden" r:id="rId8"/>
    <sheet name="4. APU ACEROS" sheetId="12" state="hidden" r:id="rId9"/>
    <sheet name="5. APU MAMPOSTERIA" sheetId="2" state="hidden" r:id="rId10"/>
    <sheet name="6. APU ELECTRICOS" sheetId="16" state="hidden" r:id="rId11"/>
    <sheet name="7. APU HIDROSANITARIO" sheetId="20" state="hidden" r:id="rId12"/>
    <sheet name="8. APU CUBIERTAS" sheetId="9" state="hidden" r:id="rId13"/>
    <sheet name="9. APU PISOS" sheetId="7" state="hidden" r:id="rId14"/>
    <sheet name="10. APU PINTURA" sheetId="8" state="hidden" r:id="rId15"/>
    <sheet name="11. APU APARATOS" sheetId="14" state="hidden" r:id="rId16"/>
    <sheet name="12. APU EXTERIORES" sheetId="25" state="hidden" r:id="rId17"/>
    <sheet name="13. APU AMOBLAMIENTO" sheetId="10" state="hidden" r:id="rId18"/>
    <sheet name="14. APU CARP. METAL" sheetId="24" state="hidden" r:id="rId19"/>
    <sheet name="15. ANEXO SST-PMT-PMA" sheetId="29" state="hidden" r:id="rId20"/>
    <sheet name="APA" sheetId="4" state="hidden" r:id="rId21"/>
    <sheet name="PERSONAL" sheetId="6" state="hidden" r:id="rId22"/>
    <sheet name="MATERIALES" sheetId="13" state="hidden" r:id="rId23"/>
  </sheets>
  <externalReferences>
    <externalReference r:id="rId24"/>
  </externalReferences>
  <definedNames>
    <definedName name="\0">#REF!</definedName>
    <definedName name="\p">#REF!</definedName>
    <definedName name="\X" localSheetId="5">#REF!</definedName>
    <definedName name="\X" localSheetId="15">#REF!</definedName>
    <definedName name="\X" localSheetId="16">#REF!</definedName>
    <definedName name="\X" localSheetId="18">#REF!</definedName>
    <definedName name="\X" localSheetId="6">#REF!</definedName>
    <definedName name="\X" localSheetId="7">#REF!</definedName>
    <definedName name="\X" localSheetId="10">#REF!</definedName>
    <definedName name="\X" localSheetId="11">#REF!</definedName>
    <definedName name="\X" localSheetId="22">#REF!</definedName>
    <definedName name="\X">#REF!</definedName>
    <definedName name="\Z" localSheetId="5">#REF!</definedName>
    <definedName name="\Z" localSheetId="15">#REF!</definedName>
    <definedName name="\Z" localSheetId="16">#REF!</definedName>
    <definedName name="\Z" localSheetId="18">#REF!</definedName>
    <definedName name="\Z" localSheetId="6">#REF!</definedName>
    <definedName name="\Z" localSheetId="7">#REF!</definedName>
    <definedName name="\Z" localSheetId="10">#REF!</definedName>
    <definedName name="\Z" localSheetId="11">#REF!</definedName>
    <definedName name="\Z" localSheetId="22">#REF!</definedName>
    <definedName name="\Z">#REF!</definedName>
    <definedName name="________________________________________________________AIU2">#REF!</definedName>
    <definedName name="_______________________________________________________AIU2">#REF!</definedName>
    <definedName name="_______________________________________________________CAN28">#REF!</definedName>
    <definedName name="_______________________________________________________REP43">#REF!</definedName>
    <definedName name="______________________________________________________AIU2">#REF!</definedName>
    <definedName name="______________________________________________________REP43">#REF!</definedName>
    <definedName name="_____________________________________________________AIU2">#REF!</definedName>
    <definedName name="_____________________________________________________REP43">#REF!</definedName>
    <definedName name="_____________________________________________________TEP44">#REF!</definedName>
    <definedName name="_____________________________________________________TZ216">#REF!</definedName>
    <definedName name="____________________________________________________AIU2">#REF!</definedName>
    <definedName name="____________________________________________________REP43">#REF!</definedName>
    <definedName name="____________________________________________________TZ214">#REF!</definedName>
    <definedName name="____________________________________________________TZ32510">#REF!</definedName>
    <definedName name="___________________________________________________AIU2">#REF!</definedName>
    <definedName name="___________________________________________________REP43">#REF!</definedName>
    <definedName name="___________________________________________________TEP44">#REF!</definedName>
    <definedName name="___________________________________________________TZ216">#REF!</definedName>
    <definedName name="__________________________________________________AIU2">#REF!</definedName>
    <definedName name="__________________________________________________REP43">#REF!</definedName>
    <definedName name="__________________________________________________TEP44">#REF!</definedName>
    <definedName name="__________________________________________________TZ214">#REF!</definedName>
    <definedName name="__________________________________________________TZ216">#REF!</definedName>
    <definedName name="__________________________________________________TZ32510">#REF!</definedName>
    <definedName name="_________________________________________________AIU2">#REF!</definedName>
    <definedName name="_________________________________________________REP43">#REF!</definedName>
    <definedName name="_________________________________________________TEP44">#REF!</definedName>
    <definedName name="_________________________________________________TZ214">#REF!</definedName>
    <definedName name="_________________________________________________TZ216">#REF!</definedName>
    <definedName name="_________________________________________________TZ32510">#REF!</definedName>
    <definedName name="________________________________________________ADM4">#REF!</definedName>
    <definedName name="________________________________________________AIU2">#REF!</definedName>
    <definedName name="________________________________________________CAN28">#REF!</definedName>
    <definedName name="________________________________________________REP43">#REF!</definedName>
    <definedName name="________________________________________________TEP44">#REF!</definedName>
    <definedName name="________________________________________________TZ214">#REF!</definedName>
    <definedName name="________________________________________________TZ216">#REF!</definedName>
    <definedName name="________________________________________________TZ32510">#REF!</definedName>
    <definedName name="_______________________________________________ADM4">#REF!</definedName>
    <definedName name="_______________________________________________AIU2">#REF!</definedName>
    <definedName name="_______________________________________________REP43">#REF!</definedName>
    <definedName name="_______________________________________________TZ214">#REF!</definedName>
    <definedName name="_______________________________________________TZ32510">#REF!</definedName>
    <definedName name="______________________________________________ADH12">#REF!</definedName>
    <definedName name="______________________________________________ADM12">#REF!</definedName>
    <definedName name="______________________________________________ADM4">#REF!</definedName>
    <definedName name="______________________________________________AIU2">#REF!</definedName>
    <definedName name="______________________________________________BAZ10">#REF!</definedName>
    <definedName name="______________________________________________BLO20">#REF!</definedName>
    <definedName name="______________________________________________CAN28">#REF!</definedName>
    <definedName name="______________________________________________CUA44">#REF!</definedName>
    <definedName name="______________________________________________LA124">#REF!</definedName>
    <definedName name="______________________________________________LAC18">#REF!</definedName>
    <definedName name="______________________________________________R84JH">#REF!</definedName>
    <definedName name="______________________________________________REP43">#REF!</definedName>
    <definedName name="______________________________________________TEP44">#REF!</definedName>
    <definedName name="______________________________________________TPF12">#REF!</definedName>
    <definedName name="______________________________________________TZ2110">#REF!</definedName>
    <definedName name="______________________________________________TZ216">#REF!</definedName>
    <definedName name="______________________________________________TZ268">#REF!</definedName>
    <definedName name="_____________________________________________ADH12">#REF!</definedName>
    <definedName name="_____________________________________________ADM12">#REF!</definedName>
    <definedName name="_____________________________________________ADM4">#REF!</definedName>
    <definedName name="_____________________________________________AIU2">#REF!</definedName>
    <definedName name="_____________________________________________BAZ10">#REF!</definedName>
    <definedName name="_____________________________________________BLO20">#REF!</definedName>
    <definedName name="_____________________________________________CAN28">#REF!</definedName>
    <definedName name="_____________________________________________CUA44">#REF!</definedName>
    <definedName name="_____________________________________________LA124">#REF!</definedName>
    <definedName name="_____________________________________________LAC18">#REF!</definedName>
    <definedName name="_____________________________________________R84JH">#REF!</definedName>
    <definedName name="_____________________________________________REP43">#REF!</definedName>
    <definedName name="_____________________________________________TPF12">#REF!</definedName>
    <definedName name="_____________________________________________TZ2110">#REF!</definedName>
    <definedName name="_____________________________________________TZ214">#REF!</definedName>
    <definedName name="_____________________________________________TZ268">#REF!</definedName>
    <definedName name="_____________________________________________TZ32510">#REF!</definedName>
    <definedName name="____________________________________________ADH12">#REF!</definedName>
    <definedName name="____________________________________________ADM12">#REF!</definedName>
    <definedName name="____________________________________________ADM4">#REF!</definedName>
    <definedName name="____________________________________________AIU2">#REF!</definedName>
    <definedName name="____________________________________________BAZ10">#REF!</definedName>
    <definedName name="____________________________________________BLO20">#REF!</definedName>
    <definedName name="____________________________________________CAN28">#REF!</definedName>
    <definedName name="____________________________________________CUA44">#REF!</definedName>
    <definedName name="____________________________________________LA124">#REF!</definedName>
    <definedName name="____________________________________________LAC18">#REF!</definedName>
    <definedName name="____________________________________________R84JH">#REF!</definedName>
    <definedName name="____________________________________________REP43">#REF!</definedName>
    <definedName name="____________________________________________TEP44">#REF!</definedName>
    <definedName name="____________________________________________TPF12">#REF!</definedName>
    <definedName name="____________________________________________TZ2110">#REF!</definedName>
    <definedName name="____________________________________________TZ216">#REF!</definedName>
    <definedName name="____________________________________________TZ268">#REF!</definedName>
    <definedName name="___________________________________________ADH12">#REF!</definedName>
    <definedName name="___________________________________________ADM12">#REF!</definedName>
    <definedName name="___________________________________________ADM4">#REF!</definedName>
    <definedName name="___________________________________________AIU2">#REF!</definedName>
    <definedName name="___________________________________________BAZ10">#REF!</definedName>
    <definedName name="___________________________________________BLO20">#REF!</definedName>
    <definedName name="___________________________________________CAN28">#REF!</definedName>
    <definedName name="___________________________________________CUA44">#REF!</definedName>
    <definedName name="___________________________________________LA124">#REF!</definedName>
    <definedName name="___________________________________________LAC18">#REF!</definedName>
    <definedName name="___________________________________________R84JH">#REF!</definedName>
    <definedName name="___________________________________________REP43">#REF!</definedName>
    <definedName name="___________________________________________TPF12">#REF!</definedName>
    <definedName name="___________________________________________TZ2110">#REF!</definedName>
    <definedName name="___________________________________________TZ214">#REF!</definedName>
    <definedName name="___________________________________________TZ268">#REF!</definedName>
    <definedName name="___________________________________________TZ32510">#REF!</definedName>
    <definedName name="__________________________________________ADH12">#REF!</definedName>
    <definedName name="__________________________________________ADM12">#REF!</definedName>
    <definedName name="__________________________________________ADM4">#REF!</definedName>
    <definedName name="__________________________________________AIU2">#REF!</definedName>
    <definedName name="__________________________________________BAZ10">#REF!</definedName>
    <definedName name="__________________________________________BLO20">#REF!</definedName>
    <definedName name="__________________________________________CAN28">#REF!</definedName>
    <definedName name="__________________________________________CUA44">#REF!</definedName>
    <definedName name="__________________________________________LA124">#REF!</definedName>
    <definedName name="__________________________________________LAC18">#REF!</definedName>
    <definedName name="__________________________________________R84JH">#REF!</definedName>
    <definedName name="__________________________________________REP43">#REF!</definedName>
    <definedName name="__________________________________________TEP44">#REF!</definedName>
    <definedName name="__________________________________________TPF12">#REF!</definedName>
    <definedName name="__________________________________________TZ2110">#REF!</definedName>
    <definedName name="__________________________________________TZ216">#REF!</definedName>
    <definedName name="__________________________________________TZ268">#REF!</definedName>
    <definedName name="_________________________________________ADH12">#REF!</definedName>
    <definedName name="_________________________________________ADM12">#REF!</definedName>
    <definedName name="_________________________________________ADM4">#REF!</definedName>
    <definedName name="_________________________________________AIU2">#REF!</definedName>
    <definedName name="_________________________________________BAZ10">#REF!</definedName>
    <definedName name="_________________________________________BLO20">#REF!</definedName>
    <definedName name="_________________________________________CAN28">#REF!</definedName>
    <definedName name="_________________________________________CUA44">#REF!</definedName>
    <definedName name="_________________________________________LA124">#REF!</definedName>
    <definedName name="_________________________________________LAC18">#REF!</definedName>
    <definedName name="_________________________________________R84JH">#REF!</definedName>
    <definedName name="_________________________________________REP43">#REF!</definedName>
    <definedName name="_________________________________________TEP44">#REF!</definedName>
    <definedName name="_________________________________________TPF12">#REF!</definedName>
    <definedName name="_________________________________________TZ2110">#REF!</definedName>
    <definedName name="_________________________________________TZ214">#REF!</definedName>
    <definedName name="_________________________________________TZ216">#REF!</definedName>
    <definedName name="_________________________________________TZ268">#REF!</definedName>
    <definedName name="_________________________________________TZ32510">#REF!</definedName>
    <definedName name="________________________________________ADH12">#REF!</definedName>
    <definedName name="________________________________________ADM12">#REF!</definedName>
    <definedName name="________________________________________ADM4">#REF!</definedName>
    <definedName name="________________________________________AIU2">#REF!</definedName>
    <definedName name="________________________________________BAZ10">#REF!</definedName>
    <definedName name="________________________________________BLO20">#REF!</definedName>
    <definedName name="________________________________________CAN28">#REF!</definedName>
    <definedName name="________________________________________CUA44">#REF!</definedName>
    <definedName name="________________________________________LA124">#REF!</definedName>
    <definedName name="________________________________________LAC18">#REF!</definedName>
    <definedName name="________________________________________R84JH">#REF!</definedName>
    <definedName name="________________________________________REP43">#REF!</definedName>
    <definedName name="________________________________________TEP44">#REF!</definedName>
    <definedName name="________________________________________TPF12">#REF!</definedName>
    <definedName name="________________________________________TZ2110">#REF!</definedName>
    <definedName name="________________________________________TZ214">#REF!</definedName>
    <definedName name="________________________________________TZ216">#REF!</definedName>
    <definedName name="________________________________________TZ268">#REF!</definedName>
    <definedName name="________________________________________TZ32510">#REF!</definedName>
    <definedName name="_______________________________________ADH12">#REF!</definedName>
    <definedName name="_______________________________________ADM12">#REF!</definedName>
    <definedName name="_______________________________________ADM4">#REF!</definedName>
    <definedName name="_______________________________________AIU2">#REF!</definedName>
    <definedName name="_______________________________________BAZ10">#REF!</definedName>
    <definedName name="_______________________________________BLO20">#REF!</definedName>
    <definedName name="_______________________________________CAN28">#REF!</definedName>
    <definedName name="_______________________________________CUA44">#REF!</definedName>
    <definedName name="_______________________________________LA124">#REF!</definedName>
    <definedName name="_______________________________________LAC18">#REF!</definedName>
    <definedName name="_______________________________________R84JH">#REF!</definedName>
    <definedName name="_______________________________________REP43">#REF!</definedName>
    <definedName name="_______________________________________TEP44">#REF!</definedName>
    <definedName name="_______________________________________TPF12">#REF!</definedName>
    <definedName name="_______________________________________TZ2110">#REF!</definedName>
    <definedName name="_______________________________________TZ214">#REF!</definedName>
    <definedName name="_______________________________________TZ216">#REF!</definedName>
    <definedName name="_______________________________________TZ268">#REF!</definedName>
    <definedName name="_______________________________________TZ32510">#REF!</definedName>
    <definedName name="______________________________________ADH12">#REF!</definedName>
    <definedName name="______________________________________ADM12">#REF!</definedName>
    <definedName name="______________________________________ADM4">#REF!</definedName>
    <definedName name="______________________________________AIU2">#REF!</definedName>
    <definedName name="______________________________________BAZ10">#REF!</definedName>
    <definedName name="______________________________________BLO20">#REF!</definedName>
    <definedName name="______________________________________CAN28">#REF!</definedName>
    <definedName name="______________________________________CUA44">#REF!</definedName>
    <definedName name="______________________________________LA124">#REF!</definedName>
    <definedName name="______________________________________LAC18">#REF!</definedName>
    <definedName name="______________________________________R84JH">#REF!</definedName>
    <definedName name="______________________________________REP43">#REF!</definedName>
    <definedName name="______________________________________TPF12">#REF!</definedName>
    <definedName name="______________________________________TZ2110">#REF!</definedName>
    <definedName name="______________________________________TZ214">#REF!</definedName>
    <definedName name="______________________________________TZ268">#REF!</definedName>
    <definedName name="______________________________________TZ32510">#REF!</definedName>
    <definedName name="_____________________________________ADH12">#REF!</definedName>
    <definedName name="_____________________________________ADM12">#REF!</definedName>
    <definedName name="_____________________________________ADM4">#REF!</definedName>
    <definedName name="_____________________________________AIU2">#REF!</definedName>
    <definedName name="_____________________________________BAZ10">#REF!</definedName>
    <definedName name="_____________________________________BLO20">#REF!</definedName>
    <definedName name="_____________________________________CAN28">#REF!</definedName>
    <definedName name="_____________________________________CUA44">#REF!</definedName>
    <definedName name="_____________________________________LA124">#REF!</definedName>
    <definedName name="_____________________________________LAC18">#REF!</definedName>
    <definedName name="_____________________________________R84JH">#REF!</definedName>
    <definedName name="_____________________________________REP43">#REF!</definedName>
    <definedName name="_____________________________________TEP44">#REF!</definedName>
    <definedName name="_____________________________________TPF12">#REF!</definedName>
    <definedName name="_____________________________________TZ2110">#REF!</definedName>
    <definedName name="_____________________________________TZ216">#REF!</definedName>
    <definedName name="_____________________________________TZ268">#REF!</definedName>
    <definedName name="____________________________________ADH12">#REF!</definedName>
    <definedName name="____________________________________ADM12">#REF!</definedName>
    <definedName name="____________________________________ADM4">#REF!</definedName>
    <definedName name="____________________________________AIU2">#REF!</definedName>
    <definedName name="____________________________________BAZ10">#REF!</definedName>
    <definedName name="____________________________________BLO20">#REF!</definedName>
    <definedName name="____________________________________CAN28">#REF!</definedName>
    <definedName name="____________________________________CUA44">#REF!</definedName>
    <definedName name="____________________________________LA124">#REF!</definedName>
    <definedName name="____________________________________LAC18">#REF!</definedName>
    <definedName name="____________________________________R84JH">#REF!</definedName>
    <definedName name="____________________________________REP43">#REF!</definedName>
    <definedName name="____________________________________TPF12">#REF!</definedName>
    <definedName name="____________________________________TZ2110">#REF!</definedName>
    <definedName name="____________________________________TZ214">#REF!</definedName>
    <definedName name="____________________________________TZ268">#REF!</definedName>
    <definedName name="____________________________________TZ32510">#REF!</definedName>
    <definedName name="___________________________________ADH12">#REF!</definedName>
    <definedName name="___________________________________ADM12">#REF!</definedName>
    <definedName name="___________________________________ADM4">#REF!</definedName>
    <definedName name="___________________________________AIU2">#REF!</definedName>
    <definedName name="___________________________________BAZ10">#REF!</definedName>
    <definedName name="___________________________________BLO20">#REF!</definedName>
    <definedName name="___________________________________CAN28">#REF!</definedName>
    <definedName name="___________________________________CUA44">#REF!</definedName>
    <definedName name="___________________________________LA124">#REF!</definedName>
    <definedName name="___________________________________LAC18">#REF!</definedName>
    <definedName name="___________________________________R84JH">#REF!</definedName>
    <definedName name="___________________________________REP43">#REF!</definedName>
    <definedName name="___________________________________TEP44">#REF!</definedName>
    <definedName name="___________________________________TPF12">#REF!</definedName>
    <definedName name="___________________________________TZ2110">#REF!</definedName>
    <definedName name="___________________________________TZ216">#REF!</definedName>
    <definedName name="___________________________________TZ268">#REF!</definedName>
    <definedName name="__________________________________ADH12">#REF!</definedName>
    <definedName name="__________________________________ADM12">#REF!</definedName>
    <definedName name="__________________________________ADM4">#REF!</definedName>
    <definedName name="__________________________________AIU2">#REF!</definedName>
    <definedName name="__________________________________BAZ10">#REF!</definedName>
    <definedName name="__________________________________BLO20">#REF!</definedName>
    <definedName name="__________________________________CAN28">#REF!</definedName>
    <definedName name="__________________________________CUA44">#REF!</definedName>
    <definedName name="__________________________________LA124">#REF!</definedName>
    <definedName name="__________________________________LAC18">#REF!</definedName>
    <definedName name="__________________________________R84JH">#REF!</definedName>
    <definedName name="__________________________________REP43">#REF!</definedName>
    <definedName name="__________________________________TEP44">#REF!</definedName>
    <definedName name="__________________________________TPF12">#REF!</definedName>
    <definedName name="__________________________________TZ2110">#REF!</definedName>
    <definedName name="__________________________________TZ214">#REF!</definedName>
    <definedName name="__________________________________TZ216">#REF!</definedName>
    <definedName name="__________________________________TZ268">#REF!</definedName>
    <definedName name="__________________________________TZ32510">#REF!</definedName>
    <definedName name="_________________________________ADH12">#REF!</definedName>
    <definedName name="_________________________________ADM12">#REF!</definedName>
    <definedName name="_________________________________ADM4">#REF!</definedName>
    <definedName name="_________________________________AIU2">#REF!</definedName>
    <definedName name="_________________________________BAZ10">#REF!</definedName>
    <definedName name="_________________________________BLO20">#REF!</definedName>
    <definedName name="_________________________________CAN28">#REF!</definedName>
    <definedName name="_________________________________CUA44">#REF!</definedName>
    <definedName name="_________________________________LA124">#REF!</definedName>
    <definedName name="_________________________________LAC18">#REF!</definedName>
    <definedName name="_________________________________R84JH">#REF!</definedName>
    <definedName name="_________________________________REP43">#REF!</definedName>
    <definedName name="_________________________________TEP44">#REF!</definedName>
    <definedName name="_________________________________TPF12">#REF!</definedName>
    <definedName name="_________________________________TZ2110">#REF!</definedName>
    <definedName name="_________________________________TZ214">#REF!</definedName>
    <definedName name="_________________________________TZ216">#REF!</definedName>
    <definedName name="_________________________________TZ268">#REF!</definedName>
    <definedName name="_________________________________TZ32510">#REF!</definedName>
    <definedName name="________________________________ADH12">#REF!</definedName>
    <definedName name="________________________________ADM12">#REF!</definedName>
    <definedName name="________________________________ADM4">#REF!</definedName>
    <definedName name="________________________________AIU2">#REF!</definedName>
    <definedName name="________________________________BAZ10">#REF!</definedName>
    <definedName name="________________________________BLO20">#REF!</definedName>
    <definedName name="________________________________CAN28">#REF!</definedName>
    <definedName name="________________________________CUA44">#REF!</definedName>
    <definedName name="________________________________LA124">#REF!</definedName>
    <definedName name="________________________________LAC18">#REF!</definedName>
    <definedName name="________________________________R84JH">#REF!</definedName>
    <definedName name="________________________________REP43">#REF!</definedName>
    <definedName name="________________________________TEP44">#REF!</definedName>
    <definedName name="________________________________TPF12">#REF!</definedName>
    <definedName name="________________________________TZ2110">#REF!</definedName>
    <definedName name="________________________________TZ214">#REF!</definedName>
    <definedName name="________________________________TZ216">#REF!</definedName>
    <definedName name="________________________________TZ268">#REF!</definedName>
    <definedName name="________________________________TZ32510">#REF!</definedName>
    <definedName name="_______________________________ADH12">#REF!</definedName>
    <definedName name="_______________________________ADM12">#REF!</definedName>
    <definedName name="_______________________________ADM4">#REF!</definedName>
    <definedName name="_______________________________AIU2">#REF!</definedName>
    <definedName name="_______________________________BAZ10">#REF!</definedName>
    <definedName name="_______________________________BLO20">#REF!</definedName>
    <definedName name="_______________________________CAN28">#REF!</definedName>
    <definedName name="_______________________________CUA44">#REF!</definedName>
    <definedName name="_______________________________LA124">#REF!</definedName>
    <definedName name="_______________________________LAC18">#REF!</definedName>
    <definedName name="_______________________________R84JH">#REF!</definedName>
    <definedName name="_______________________________REP43">#REF!</definedName>
    <definedName name="_______________________________TEP44">#REF!</definedName>
    <definedName name="_______________________________TPF12">#REF!</definedName>
    <definedName name="_______________________________TZ2110">#REF!</definedName>
    <definedName name="_______________________________TZ214">#REF!</definedName>
    <definedName name="_______________________________TZ216">#REF!</definedName>
    <definedName name="_______________________________TZ268">#REF!</definedName>
    <definedName name="_______________________________TZ32510">#REF!</definedName>
    <definedName name="______________________________ADH12">#REF!</definedName>
    <definedName name="______________________________ADM12">#REF!</definedName>
    <definedName name="______________________________ADM4">#REF!</definedName>
    <definedName name="______________________________AIU2">#REF!</definedName>
    <definedName name="______________________________BAZ10">#REF!</definedName>
    <definedName name="______________________________BLO20">#REF!</definedName>
    <definedName name="______________________________CAN28">#REF!</definedName>
    <definedName name="______________________________CUA44">#REF!</definedName>
    <definedName name="______________________________LA124">#REF!</definedName>
    <definedName name="______________________________LAC18">#REF!</definedName>
    <definedName name="______________________________R84JH">#REF!</definedName>
    <definedName name="______________________________REP43">#REF!</definedName>
    <definedName name="______________________________TEP44">#REF!</definedName>
    <definedName name="______________________________TPF12">#REF!</definedName>
    <definedName name="______________________________TZ2110">#REF!</definedName>
    <definedName name="______________________________TZ214">#REF!</definedName>
    <definedName name="______________________________TZ216">#REF!</definedName>
    <definedName name="______________________________TZ268">#REF!</definedName>
    <definedName name="______________________________TZ32510">#REF!</definedName>
    <definedName name="_____________________________ADH12">#REF!</definedName>
    <definedName name="_____________________________ADM12">#REF!</definedName>
    <definedName name="_____________________________ADM4">#REF!</definedName>
    <definedName name="_____________________________AIU2">#REF!</definedName>
    <definedName name="_____________________________BAZ10">#REF!</definedName>
    <definedName name="_____________________________BLO20">#REF!</definedName>
    <definedName name="_____________________________CAN28">#REF!</definedName>
    <definedName name="_____________________________CUA44">#REF!</definedName>
    <definedName name="_____________________________LA124">#REF!</definedName>
    <definedName name="_____________________________LAC18">#REF!</definedName>
    <definedName name="_____________________________R84JH">#REF!</definedName>
    <definedName name="_____________________________REP43">#REF!</definedName>
    <definedName name="_____________________________TEP44">#REF!</definedName>
    <definedName name="_____________________________TPF12">#REF!</definedName>
    <definedName name="_____________________________TZ2110">#REF!</definedName>
    <definedName name="_____________________________TZ214">#REF!</definedName>
    <definedName name="_____________________________TZ216">#REF!</definedName>
    <definedName name="_____________________________TZ268">#REF!</definedName>
    <definedName name="_____________________________TZ32510">#REF!</definedName>
    <definedName name="____________________________ADH12">#REF!</definedName>
    <definedName name="____________________________ADM12">#REF!</definedName>
    <definedName name="____________________________ADM4">#REF!</definedName>
    <definedName name="____________________________AIU2">#REF!</definedName>
    <definedName name="____________________________BAZ10">#REF!</definedName>
    <definedName name="____________________________BLO20">#REF!</definedName>
    <definedName name="____________________________CAN28">#REF!</definedName>
    <definedName name="____________________________CUA44">#REF!</definedName>
    <definedName name="____________________________LA124">#REF!</definedName>
    <definedName name="____________________________LAC18">#REF!</definedName>
    <definedName name="____________________________R84JH">#REF!</definedName>
    <definedName name="____________________________REP43">#REF!</definedName>
    <definedName name="____________________________TEP44">#REF!</definedName>
    <definedName name="____________________________TPF12">#REF!</definedName>
    <definedName name="____________________________TZ2110">#REF!</definedName>
    <definedName name="____________________________TZ214">#REF!</definedName>
    <definedName name="____________________________TZ216">#REF!</definedName>
    <definedName name="____________________________TZ268">#REF!</definedName>
    <definedName name="____________________________TZ32510">#REF!</definedName>
    <definedName name="___________________________ADH12">#REF!</definedName>
    <definedName name="___________________________ADM12">#REF!</definedName>
    <definedName name="___________________________ADM4">#REF!</definedName>
    <definedName name="___________________________AIU2">#REF!</definedName>
    <definedName name="___________________________BAZ10">#REF!</definedName>
    <definedName name="___________________________BLO20">#REF!</definedName>
    <definedName name="___________________________CAN28">#REF!</definedName>
    <definedName name="___________________________CUA44">#REF!</definedName>
    <definedName name="___________________________LA124">#REF!</definedName>
    <definedName name="___________________________LAC18">#REF!</definedName>
    <definedName name="___________________________R84JH">#REF!</definedName>
    <definedName name="___________________________REP43">#REF!</definedName>
    <definedName name="___________________________TEP44">#REF!</definedName>
    <definedName name="___________________________TPF12">#REF!</definedName>
    <definedName name="___________________________TZ2110">#REF!</definedName>
    <definedName name="___________________________TZ214">#REF!</definedName>
    <definedName name="___________________________TZ216">#REF!</definedName>
    <definedName name="___________________________TZ268">#REF!</definedName>
    <definedName name="___________________________TZ32510">#REF!</definedName>
    <definedName name="__________________________ADH12">#REF!</definedName>
    <definedName name="__________________________ADM12">#REF!</definedName>
    <definedName name="__________________________ADM4">#REF!</definedName>
    <definedName name="__________________________AIU2">#REF!</definedName>
    <definedName name="__________________________BAZ10">#REF!</definedName>
    <definedName name="__________________________BLO20">#REF!</definedName>
    <definedName name="__________________________CAN28">#REF!</definedName>
    <definedName name="__________________________CUA44">#REF!</definedName>
    <definedName name="__________________________LA124">#REF!</definedName>
    <definedName name="__________________________LAC18">#REF!</definedName>
    <definedName name="__________________________R84JH">#REF!</definedName>
    <definedName name="__________________________REP43">#REF!</definedName>
    <definedName name="__________________________TEP44">#REF!</definedName>
    <definedName name="__________________________TPF12">#REF!</definedName>
    <definedName name="__________________________TZ2110">#REF!</definedName>
    <definedName name="__________________________TZ214">#REF!</definedName>
    <definedName name="__________________________TZ216">#REF!</definedName>
    <definedName name="__________________________TZ268">#REF!</definedName>
    <definedName name="__________________________TZ32510">#REF!</definedName>
    <definedName name="_________________________ADH12">#REF!</definedName>
    <definedName name="_________________________ADM12">#REF!</definedName>
    <definedName name="_________________________ADM4">#REF!</definedName>
    <definedName name="_________________________AIU2">#REF!</definedName>
    <definedName name="_________________________BAZ10">#REF!</definedName>
    <definedName name="_________________________BLO20">#REF!</definedName>
    <definedName name="_________________________CAN28">#REF!</definedName>
    <definedName name="_________________________CUA44">#REF!</definedName>
    <definedName name="_________________________LA124">#REF!</definedName>
    <definedName name="_________________________LAC18">#REF!</definedName>
    <definedName name="_________________________R84JH">#REF!</definedName>
    <definedName name="_________________________REP43">#REF!</definedName>
    <definedName name="_________________________TEP44">#REF!</definedName>
    <definedName name="_________________________TPF12">#REF!</definedName>
    <definedName name="_________________________TZ2110">#REF!</definedName>
    <definedName name="_________________________TZ214">#REF!</definedName>
    <definedName name="_________________________TZ216">#REF!</definedName>
    <definedName name="_________________________TZ268">#REF!</definedName>
    <definedName name="_________________________TZ32510">#REF!</definedName>
    <definedName name="________________________ADH12">#REF!</definedName>
    <definedName name="________________________ADM12">#REF!</definedName>
    <definedName name="________________________ADM4">#REF!</definedName>
    <definedName name="________________________AIU2">#REF!</definedName>
    <definedName name="________________________BAZ10">#REF!</definedName>
    <definedName name="________________________BLO20">#REF!</definedName>
    <definedName name="________________________CAN28">#REF!</definedName>
    <definedName name="________________________CUA44">#REF!</definedName>
    <definedName name="________________________LA124">#REF!</definedName>
    <definedName name="________________________LAC18">#REF!</definedName>
    <definedName name="________________________R84JH">#REF!</definedName>
    <definedName name="________________________REP43">#REF!</definedName>
    <definedName name="________________________TEP44">#REF!</definedName>
    <definedName name="________________________TPF12">#REF!</definedName>
    <definedName name="________________________TZ2110">#REF!</definedName>
    <definedName name="________________________TZ214">#REF!</definedName>
    <definedName name="________________________TZ216">#REF!</definedName>
    <definedName name="________________________TZ268">#REF!</definedName>
    <definedName name="________________________TZ32510">#REF!</definedName>
    <definedName name="_______________________ADH12">#REF!</definedName>
    <definedName name="_______________________ADM12">#REF!</definedName>
    <definedName name="_______________________ADM4">#REF!</definedName>
    <definedName name="_______________________AIU2">#REF!</definedName>
    <definedName name="_______________________BAZ10">#REF!</definedName>
    <definedName name="_______________________BLO20">#REF!</definedName>
    <definedName name="_______________________CAN28">#REF!</definedName>
    <definedName name="_______________________CUA44">#REF!</definedName>
    <definedName name="_______________________LA124">#REF!</definedName>
    <definedName name="_______________________LAC18">#REF!</definedName>
    <definedName name="_______________________R84JH">#REF!</definedName>
    <definedName name="_______________________REP43">#REF!</definedName>
    <definedName name="_______________________TEP44">#REF!</definedName>
    <definedName name="_______________________TPF12">#REF!</definedName>
    <definedName name="_______________________TZ2110">#REF!</definedName>
    <definedName name="_______________________TZ214">#REF!</definedName>
    <definedName name="_______________________TZ216">#REF!</definedName>
    <definedName name="_______________________TZ268">#REF!</definedName>
    <definedName name="_______________________TZ32510">#REF!</definedName>
    <definedName name="______________________ADH12">#REF!</definedName>
    <definedName name="______________________ADM12">#REF!</definedName>
    <definedName name="______________________ADM4">#REF!</definedName>
    <definedName name="______________________AIU2">#REF!</definedName>
    <definedName name="______________________AIU3">#REF!</definedName>
    <definedName name="______________________BAZ10">#REF!</definedName>
    <definedName name="______________________BLO20">#REF!</definedName>
    <definedName name="______________________CAN28">#REF!</definedName>
    <definedName name="______________________CUA44">#REF!</definedName>
    <definedName name="______________________LA124">#REF!</definedName>
    <definedName name="______________________LAC18">#REF!</definedName>
    <definedName name="______________________R84JH">#REF!</definedName>
    <definedName name="______________________REP43">#REF!</definedName>
    <definedName name="______________________TEP44">#REF!</definedName>
    <definedName name="______________________TPF12">#REF!</definedName>
    <definedName name="______________________TZ2110">#REF!</definedName>
    <definedName name="______________________TZ214">#REF!</definedName>
    <definedName name="______________________TZ216">#REF!</definedName>
    <definedName name="______________________TZ268">#REF!</definedName>
    <definedName name="______________________TZ32510">#REF!</definedName>
    <definedName name="_____________________ADH12">#REF!</definedName>
    <definedName name="_____________________ADM12">#REF!</definedName>
    <definedName name="_____________________ADM4">#REF!</definedName>
    <definedName name="_____________________AIU2">#REF!</definedName>
    <definedName name="_____________________AIU3">#REF!</definedName>
    <definedName name="_____________________BAZ10">#REF!</definedName>
    <definedName name="_____________________BLO20">#REF!</definedName>
    <definedName name="_____________________CAN28">#REF!</definedName>
    <definedName name="_____________________CUA44">#REF!</definedName>
    <definedName name="_____________________LA124">#REF!</definedName>
    <definedName name="_____________________LAC18">#REF!</definedName>
    <definedName name="_____________________R84JH">#REF!</definedName>
    <definedName name="_____________________REP43">#REF!</definedName>
    <definedName name="_____________________TEP44">#REF!</definedName>
    <definedName name="_____________________TPF12">#REF!</definedName>
    <definedName name="_____________________TZ2110">#REF!</definedName>
    <definedName name="_____________________TZ214">#REF!</definedName>
    <definedName name="_____________________TZ216">#REF!</definedName>
    <definedName name="_____________________TZ268">#REF!</definedName>
    <definedName name="_____________________TZ32510">#REF!</definedName>
    <definedName name="____________________ADH12">#REF!</definedName>
    <definedName name="____________________ADM12">#REF!</definedName>
    <definedName name="____________________ADM4">#REF!</definedName>
    <definedName name="____________________AIU2">#REF!</definedName>
    <definedName name="____________________AIU3">#REF!</definedName>
    <definedName name="____________________BAZ10">#REF!</definedName>
    <definedName name="____________________BLO20">#REF!</definedName>
    <definedName name="____________________CAN28">#REF!</definedName>
    <definedName name="____________________CUA44">#REF!</definedName>
    <definedName name="____________________LA124">#REF!</definedName>
    <definedName name="____________________LAC18">#REF!</definedName>
    <definedName name="____________________R84JH">#REF!</definedName>
    <definedName name="____________________REP43">#REF!</definedName>
    <definedName name="____________________TEP44">#REF!</definedName>
    <definedName name="____________________TPF12">#REF!</definedName>
    <definedName name="____________________TZ2110">#REF!</definedName>
    <definedName name="____________________TZ214">#REF!</definedName>
    <definedName name="____________________TZ216">#REF!</definedName>
    <definedName name="____________________TZ268">#REF!</definedName>
    <definedName name="____________________TZ32510">#REF!</definedName>
    <definedName name="___________________ADH12">#REF!</definedName>
    <definedName name="___________________ADM12">#REF!</definedName>
    <definedName name="___________________ADM4">#REF!</definedName>
    <definedName name="___________________AIU2">#REF!</definedName>
    <definedName name="___________________AIU3">#REF!</definedName>
    <definedName name="___________________BAZ10">#REF!</definedName>
    <definedName name="___________________BLO20">#REF!</definedName>
    <definedName name="___________________CAN28">#REF!</definedName>
    <definedName name="___________________CUA44">#REF!</definedName>
    <definedName name="___________________LA124">#REF!</definedName>
    <definedName name="___________________LAC18">#REF!</definedName>
    <definedName name="___________________R84JH">#REF!</definedName>
    <definedName name="___________________REP43">#REF!</definedName>
    <definedName name="___________________TEP44">#REF!</definedName>
    <definedName name="___________________TPF12">#REF!</definedName>
    <definedName name="___________________TZ2110">#REF!</definedName>
    <definedName name="___________________TZ214">#REF!</definedName>
    <definedName name="___________________TZ216">#REF!</definedName>
    <definedName name="___________________TZ268">#REF!</definedName>
    <definedName name="___________________TZ32510">#REF!</definedName>
    <definedName name="__________________ADH12">#REF!</definedName>
    <definedName name="__________________ADM12">#REF!</definedName>
    <definedName name="__________________ADM4">#REF!</definedName>
    <definedName name="__________________AIU2">#REF!</definedName>
    <definedName name="__________________AIU3">#REF!</definedName>
    <definedName name="__________________BAZ10">#REF!</definedName>
    <definedName name="__________________BLO20">#REF!</definedName>
    <definedName name="__________________CAN28">#REF!</definedName>
    <definedName name="__________________CUA44">#REF!</definedName>
    <definedName name="__________________LA124">#REF!</definedName>
    <definedName name="__________________LAC18">#REF!</definedName>
    <definedName name="__________________R84JH">#REF!</definedName>
    <definedName name="__________________REP43">#REF!</definedName>
    <definedName name="__________________TEP44">#REF!</definedName>
    <definedName name="__________________TPF12">#REF!</definedName>
    <definedName name="__________________TZ2110">#REF!</definedName>
    <definedName name="__________________TZ214">#REF!</definedName>
    <definedName name="__________________TZ216">#REF!</definedName>
    <definedName name="__________________TZ268">#REF!</definedName>
    <definedName name="__________________TZ32510">#REF!</definedName>
    <definedName name="_________________ADH12">#REF!</definedName>
    <definedName name="_________________ADM12">#REF!</definedName>
    <definedName name="_________________ADM4">#REF!</definedName>
    <definedName name="_________________AIU2">#REF!</definedName>
    <definedName name="_________________AIU3">#REF!</definedName>
    <definedName name="_________________BAZ10">#REF!</definedName>
    <definedName name="_________________BLO20">#REF!</definedName>
    <definedName name="_________________CAN28">#REF!</definedName>
    <definedName name="_________________CUA44">#REF!</definedName>
    <definedName name="_________________LA124">#REF!</definedName>
    <definedName name="_________________LAC18">#REF!</definedName>
    <definedName name="_________________R84JH">#REF!</definedName>
    <definedName name="_________________REP43">#REF!</definedName>
    <definedName name="_________________TEP44">#REF!</definedName>
    <definedName name="_________________TPF12">#REF!</definedName>
    <definedName name="_________________TZ2110">#REF!</definedName>
    <definedName name="_________________TZ214">#REF!</definedName>
    <definedName name="_________________TZ216">#REF!</definedName>
    <definedName name="_________________TZ268">#REF!</definedName>
    <definedName name="_________________TZ32510">#REF!</definedName>
    <definedName name="________________ADH12">#REF!</definedName>
    <definedName name="________________ADM12">#REF!</definedName>
    <definedName name="________________ADM4">#REF!</definedName>
    <definedName name="________________AIU2">#REF!</definedName>
    <definedName name="________________AIU3">#REF!</definedName>
    <definedName name="________________BAZ10">#REF!</definedName>
    <definedName name="________________BLO20">#REF!</definedName>
    <definedName name="________________CAN28">#REF!</definedName>
    <definedName name="________________CUA44">#REF!</definedName>
    <definedName name="________________LA124">#REF!</definedName>
    <definedName name="________________LAC18">#REF!</definedName>
    <definedName name="________________R84JH">#REF!</definedName>
    <definedName name="________________REP43">#REF!</definedName>
    <definedName name="________________TEP44">#REF!</definedName>
    <definedName name="________________TPF12">#REF!</definedName>
    <definedName name="________________TZ2110">#REF!</definedName>
    <definedName name="________________TZ212">#REF!</definedName>
    <definedName name="________________TZ214">#REF!</definedName>
    <definedName name="________________TZ216">#REF!</definedName>
    <definedName name="________________TZ268">#REF!</definedName>
    <definedName name="________________TZ32510">#REF!</definedName>
    <definedName name="_______________ADH12">#REF!</definedName>
    <definedName name="_______________ADM12">#REF!</definedName>
    <definedName name="_______________ADM4">#REF!</definedName>
    <definedName name="_______________AIU2">#REF!</definedName>
    <definedName name="_______________AIU3">#REF!</definedName>
    <definedName name="_______________BAZ10">#REF!</definedName>
    <definedName name="_______________BLO20">#REF!</definedName>
    <definedName name="_______________CAN28">#REF!</definedName>
    <definedName name="_______________CUA44">#REF!</definedName>
    <definedName name="_______________LA124">#REF!</definedName>
    <definedName name="_______________LAC18">#REF!</definedName>
    <definedName name="_______________R84JH">#REF!</definedName>
    <definedName name="_______________REP43">#REF!</definedName>
    <definedName name="_______________TEP44">#REF!</definedName>
    <definedName name="_______________TPF12">#REF!</definedName>
    <definedName name="_______________TZ2110">#REF!</definedName>
    <definedName name="_______________TZ212">#REF!</definedName>
    <definedName name="_______________TZ214">#REF!</definedName>
    <definedName name="_______________TZ216">#REF!</definedName>
    <definedName name="_______________TZ268">#REF!</definedName>
    <definedName name="_______________TZ32510">#REF!</definedName>
    <definedName name="______________ADH12">#REF!</definedName>
    <definedName name="______________ADM12">#REF!</definedName>
    <definedName name="______________ADM4">#REF!</definedName>
    <definedName name="______________AIU2">#REF!</definedName>
    <definedName name="______________AIU3">#REF!</definedName>
    <definedName name="______________BAZ10">#REF!</definedName>
    <definedName name="______________BLO20">#REF!</definedName>
    <definedName name="______________CAN28">#REF!</definedName>
    <definedName name="______________CUA44">#REF!</definedName>
    <definedName name="______________LA124">#REF!</definedName>
    <definedName name="______________LAC18">#REF!</definedName>
    <definedName name="______________R84JH">#REF!</definedName>
    <definedName name="______________REP43">#REF!</definedName>
    <definedName name="______________TEP44">#REF!</definedName>
    <definedName name="______________TPF12">#REF!</definedName>
    <definedName name="______________TZ2110">#REF!</definedName>
    <definedName name="______________TZ212">#REF!</definedName>
    <definedName name="______________TZ214">#REF!</definedName>
    <definedName name="______________TZ216">#REF!</definedName>
    <definedName name="______________TZ268">#REF!</definedName>
    <definedName name="______________TZ32510">#REF!</definedName>
    <definedName name="_____________ADH12">#REF!</definedName>
    <definedName name="_____________ADM12">#REF!</definedName>
    <definedName name="_____________ADM4">#REF!</definedName>
    <definedName name="_____________AIU2">#REF!</definedName>
    <definedName name="_____________AIU3">#REF!</definedName>
    <definedName name="_____________BAZ10">#REF!</definedName>
    <definedName name="_____________BLO20">#REF!</definedName>
    <definedName name="_____________CAN28">#REF!</definedName>
    <definedName name="_____________CUA44">#REF!</definedName>
    <definedName name="_____________LA124">#REF!</definedName>
    <definedName name="_____________LAC18">#REF!</definedName>
    <definedName name="_____________R84JH">#REF!</definedName>
    <definedName name="_____________REP43">#REF!</definedName>
    <definedName name="_____________TEP44">#REF!</definedName>
    <definedName name="_____________TPF12">#REF!</definedName>
    <definedName name="_____________TZ2110">#REF!</definedName>
    <definedName name="_____________TZ212">#REF!</definedName>
    <definedName name="_____________TZ214">#REF!</definedName>
    <definedName name="_____________TZ216">#REF!</definedName>
    <definedName name="_____________TZ268">#REF!</definedName>
    <definedName name="_____________TZ32510">#REF!</definedName>
    <definedName name="____________ADH12">#REF!</definedName>
    <definedName name="____________ADM12">#REF!</definedName>
    <definedName name="____________ADM4">#REF!</definedName>
    <definedName name="____________AIU2">#REF!</definedName>
    <definedName name="____________AIU3">#REF!</definedName>
    <definedName name="____________BAZ10">#REF!</definedName>
    <definedName name="____________BLO20">#REF!</definedName>
    <definedName name="____________CAN28">#REF!</definedName>
    <definedName name="____________CUA44">#REF!</definedName>
    <definedName name="____________LA124">#REF!</definedName>
    <definedName name="____________LAC18">#REF!</definedName>
    <definedName name="____________Pa1">#REF!</definedName>
    <definedName name="____________Pa2">#REF!</definedName>
    <definedName name="____________Pa3">#REF!</definedName>
    <definedName name="____________Pa4">#REF!</definedName>
    <definedName name="____________R84JH">#REF!</definedName>
    <definedName name="____________REP43">#REF!</definedName>
    <definedName name="____________TEP44">#REF!</definedName>
    <definedName name="____________TPF12">#REF!</definedName>
    <definedName name="____________TZ2110">#REF!</definedName>
    <definedName name="____________TZ212">#REF!</definedName>
    <definedName name="____________TZ214">#REF!</definedName>
    <definedName name="____________TZ216">#REF!</definedName>
    <definedName name="____________TZ268">#REF!</definedName>
    <definedName name="____________TZ32510">#REF!</definedName>
    <definedName name="___________ADH12">#REF!</definedName>
    <definedName name="___________ADM12">#REF!</definedName>
    <definedName name="___________ADM4">#REF!</definedName>
    <definedName name="___________AIU2">#REF!</definedName>
    <definedName name="___________AIU3">#REF!</definedName>
    <definedName name="___________BAZ10">#REF!</definedName>
    <definedName name="___________BLO20">#REF!</definedName>
    <definedName name="___________CAN28">#REF!</definedName>
    <definedName name="___________CUA44">#REF!</definedName>
    <definedName name="___________LA124">#REF!</definedName>
    <definedName name="___________LAC18">#REF!</definedName>
    <definedName name="___________Pa1">#REF!</definedName>
    <definedName name="___________Pa2">#REF!</definedName>
    <definedName name="___________Pa3">#REF!</definedName>
    <definedName name="___________Pa4">#REF!</definedName>
    <definedName name="___________R84JH">#REF!</definedName>
    <definedName name="___________REP43">#REF!</definedName>
    <definedName name="___________ST166">#REF!</definedName>
    <definedName name="___________TEP44">#REF!</definedName>
    <definedName name="___________TPE8016">#REF!</definedName>
    <definedName name="___________TPE8020">#REF!</definedName>
    <definedName name="___________TPE8025">#REF!</definedName>
    <definedName name="___________TPF12">#REF!</definedName>
    <definedName name="___________TPN1002">#REF!</definedName>
    <definedName name="___________TPN1003">#REF!</definedName>
    <definedName name="___________TPN1004">#REF!</definedName>
    <definedName name="___________TPN1006">#REF!</definedName>
    <definedName name="___________TPN1008">#REF!</definedName>
    <definedName name="___________TPN1202">#REF!</definedName>
    <definedName name="___________TPN1203">#REF!</definedName>
    <definedName name="___________TPN1204">#REF!</definedName>
    <definedName name="___________TPN1206">#REF!</definedName>
    <definedName name="___________TPN1208">#REF!</definedName>
    <definedName name="___________TPN16012">#REF!</definedName>
    <definedName name="___________TPN1602">#REF!</definedName>
    <definedName name="___________TPN1603">#REF!</definedName>
    <definedName name="___________TPN1604">#REF!</definedName>
    <definedName name="___________TPN1606">#REF!</definedName>
    <definedName name="___________TPN1608">#REF!</definedName>
    <definedName name="___________TPN1611">#REF!</definedName>
    <definedName name="___________TZ132">#REF!</definedName>
    <definedName name="___________TZ133">#REF!</definedName>
    <definedName name="___________TZ2110">#REF!</definedName>
    <definedName name="___________TZ214">#REF!</definedName>
    <definedName name="___________TZ216">#REF!</definedName>
    <definedName name="___________TZ268">#REF!</definedName>
    <definedName name="___________TZ32510">#REF!</definedName>
    <definedName name="__________ADH12">#REF!</definedName>
    <definedName name="__________ADM12">#REF!</definedName>
    <definedName name="__________ADM4">#REF!</definedName>
    <definedName name="__________AIU2">#REF!</definedName>
    <definedName name="__________AIU3">#REF!</definedName>
    <definedName name="__________BAZ10">#REF!</definedName>
    <definedName name="__________BLO20">#REF!</definedName>
    <definedName name="__________CAN28">#REF!</definedName>
    <definedName name="__________CUA44">#REF!</definedName>
    <definedName name="__________LA124">#REF!</definedName>
    <definedName name="__________LAC18">#REF!</definedName>
    <definedName name="__________Pa1">#REF!</definedName>
    <definedName name="__________Pa2">#REF!</definedName>
    <definedName name="__________Pa3">#REF!</definedName>
    <definedName name="__________Pa4">#REF!</definedName>
    <definedName name="__________R84JH">#REF!</definedName>
    <definedName name="__________REP43">#REF!</definedName>
    <definedName name="__________ST166">#REF!</definedName>
    <definedName name="__________SY106">#REF!</definedName>
    <definedName name="__________SY86">#REF!</definedName>
    <definedName name="__________TEP44">#REF!</definedName>
    <definedName name="__________TPE8016">#REF!</definedName>
    <definedName name="__________TPE8020">#REF!</definedName>
    <definedName name="__________TPE8025">#REF!</definedName>
    <definedName name="__________TPF12">#REF!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PN1611">#REF!</definedName>
    <definedName name="__________TZ132">#REF!</definedName>
    <definedName name="__________TZ133">#REF!</definedName>
    <definedName name="__________TZ2110">#REF!</definedName>
    <definedName name="__________TZ212">#REF!</definedName>
    <definedName name="__________TZ214">#REF!</definedName>
    <definedName name="__________TZ216">#REF!</definedName>
    <definedName name="__________TZ268">#REF!</definedName>
    <definedName name="__________TZ32510">#REF!</definedName>
    <definedName name="_________ADH12">#REF!</definedName>
    <definedName name="_________ADM12">#REF!</definedName>
    <definedName name="_________ADM4">#REF!</definedName>
    <definedName name="_________AIU2">#REF!</definedName>
    <definedName name="_________AIU3">#REF!</definedName>
    <definedName name="_________BAZ10">#REF!</definedName>
    <definedName name="_________BLO20">#REF!</definedName>
    <definedName name="_________CAN28">#REF!</definedName>
    <definedName name="_________CUA44">#REF!</definedName>
    <definedName name="_________LA124">#REF!</definedName>
    <definedName name="_________LAC18">#REF!</definedName>
    <definedName name="_________Pa1">#REF!</definedName>
    <definedName name="_________Pa2">#REF!</definedName>
    <definedName name="_________Pa3">#REF!</definedName>
    <definedName name="_________Pa4">#REF!</definedName>
    <definedName name="_________R84JH">#REF!</definedName>
    <definedName name="_________REP43">#REF!</definedName>
    <definedName name="_________ST166">#REF!</definedName>
    <definedName name="_________TEP44">#REF!</definedName>
    <definedName name="_________TPE8016">#REF!</definedName>
    <definedName name="_________TPE8020">#REF!</definedName>
    <definedName name="_________TPE8025">#REF!</definedName>
    <definedName name="_________TPF12">#REF!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PN1611">#REF!</definedName>
    <definedName name="_________TZ132">#REF!</definedName>
    <definedName name="_________TZ133">#REF!</definedName>
    <definedName name="_________TZ2110">#REF!</definedName>
    <definedName name="_________TZ212">#REF!</definedName>
    <definedName name="_________TZ214">#REF!</definedName>
    <definedName name="_________TZ216">#REF!</definedName>
    <definedName name="_________TZ268">#REF!</definedName>
    <definedName name="_________TZ32510">#REF!</definedName>
    <definedName name="________ADH12">#REF!</definedName>
    <definedName name="________ADM12">#REF!</definedName>
    <definedName name="________ADM4">#REF!</definedName>
    <definedName name="________AIU2">#REF!</definedName>
    <definedName name="________AIU3">#REF!</definedName>
    <definedName name="________BAZ10">#REF!</definedName>
    <definedName name="________BLO20">#REF!</definedName>
    <definedName name="________CAN28">#REF!</definedName>
    <definedName name="________CUA44">#REF!</definedName>
    <definedName name="________LA124">#REF!</definedName>
    <definedName name="________LAC18">#REF!</definedName>
    <definedName name="________MA2">#REF!</definedName>
    <definedName name="________Pa1">#REF!</definedName>
    <definedName name="________Pa2">#REF!</definedName>
    <definedName name="________Pa3">#REF!</definedName>
    <definedName name="________Pa4">#REF!</definedName>
    <definedName name="________PAG1">#REF!</definedName>
    <definedName name="________PAG2">#REF!</definedName>
    <definedName name="________PAG3">#REF!</definedName>
    <definedName name="________PAG4">#REF!</definedName>
    <definedName name="________PAG5">#REF!</definedName>
    <definedName name="________R84JH">#REF!</definedName>
    <definedName name="________REP43">#REF!</definedName>
    <definedName name="________ST166">#REF!</definedName>
    <definedName name="________TEP44">#REF!</definedName>
    <definedName name="________TPE8016">#REF!</definedName>
    <definedName name="________TPE8020">#REF!</definedName>
    <definedName name="________TPE8025">#REF!</definedName>
    <definedName name="________TPF12">#REF!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PN1611">#REF!</definedName>
    <definedName name="________TZ132">#REF!</definedName>
    <definedName name="________TZ133">#REF!</definedName>
    <definedName name="________TZ2110">#REF!</definedName>
    <definedName name="________TZ212">#REF!</definedName>
    <definedName name="________TZ213">#REF!</definedName>
    <definedName name="________TZ214">#REF!</definedName>
    <definedName name="________TZ216">#REF!</definedName>
    <definedName name="________TZ268">#REF!</definedName>
    <definedName name="________TZ32510">#REF!</definedName>
    <definedName name="_______ADH12">#REF!</definedName>
    <definedName name="_______ADM12">#REF!</definedName>
    <definedName name="_______ADM4">#REF!</definedName>
    <definedName name="_______AFC1">#REF!</definedName>
    <definedName name="_______AFC3">#REF!</definedName>
    <definedName name="_______AFC5">#REF!</definedName>
    <definedName name="_______AIU2">#REF!</definedName>
    <definedName name="_______AIU3">#REF!</definedName>
    <definedName name="_______BAZ10">#REF!</definedName>
    <definedName name="_______BGC1">#REF!</definedName>
    <definedName name="_______BGC3">#REF!</definedName>
    <definedName name="_______BGC5">#REF!</definedName>
    <definedName name="_______BLO20">#REF!</definedName>
    <definedName name="_______CAC1">#REF!</definedName>
    <definedName name="_______CAC3">#REF!</definedName>
    <definedName name="_______CAC5">#REF!</definedName>
    <definedName name="_______CAN28">#REF!</definedName>
    <definedName name="_______CUA44">#REF!</definedName>
    <definedName name="_______LA124">#REF!</definedName>
    <definedName name="_______LAC18">#REF!</definedName>
    <definedName name="_______MA2">#REF!</definedName>
    <definedName name="_______Pa1">#REF!</definedName>
    <definedName name="_______Pa2">#REF!</definedName>
    <definedName name="_______Pa3">#REF!</definedName>
    <definedName name="_______Pa4">#REF!</definedName>
    <definedName name="_______PAG1">#REF!</definedName>
    <definedName name="_______PAG2">#REF!</definedName>
    <definedName name="_______PAG3">#REF!</definedName>
    <definedName name="_______PAG4">#REF!</definedName>
    <definedName name="_______PAG5">#REF!</definedName>
    <definedName name="_______R84JH">#REF!</definedName>
    <definedName name="_______REP43">#REF!</definedName>
    <definedName name="_______SBC1">#REF!</definedName>
    <definedName name="_______SBC3">#REF!</definedName>
    <definedName name="_______SBC5">#REF!</definedName>
    <definedName name="_______ST166">#REF!</definedName>
    <definedName name="_______TEP44">#REF!</definedName>
    <definedName name="_______TPE8016">#REF!</definedName>
    <definedName name="_______TPE8020">#REF!</definedName>
    <definedName name="_______TPE8025">#REF!</definedName>
    <definedName name="_______TPF12">#REF!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PN1611">#REF!</definedName>
    <definedName name="_______TZ132">#REF!</definedName>
    <definedName name="_______TZ133">#REF!</definedName>
    <definedName name="_______TZ2110">#REF!</definedName>
    <definedName name="_______TZ212">#REF!</definedName>
    <definedName name="_______TZ213">#REF!</definedName>
    <definedName name="_______TZ214">#REF!</definedName>
    <definedName name="_______TZ216">#REF!</definedName>
    <definedName name="_______TZ268">#REF!</definedName>
    <definedName name="_______TZ32510">#REF!</definedName>
    <definedName name="______ADH12">#REF!</definedName>
    <definedName name="______ADM12">#REF!</definedName>
    <definedName name="______ADM4">#REF!</definedName>
    <definedName name="______AFC1">#REF!</definedName>
    <definedName name="______AFC3">#REF!</definedName>
    <definedName name="______AFC5">#REF!</definedName>
    <definedName name="______AIU2">#REF!</definedName>
    <definedName name="______AIU3">#REF!</definedName>
    <definedName name="______BAZ10">#REF!</definedName>
    <definedName name="______BGC1">#REF!</definedName>
    <definedName name="______BGC3">#REF!</definedName>
    <definedName name="______BGC5">#REF!</definedName>
    <definedName name="______BLO20">#REF!</definedName>
    <definedName name="______CAC1">#REF!</definedName>
    <definedName name="______CAC3">#REF!</definedName>
    <definedName name="______CAC5">#REF!</definedName>
    <definedName name="______CAN28">#REF!</definedName>
    <definedName name="______CUA44">#REF!</definedName>
    <definedName name="______ETF315">#REF!</definedName>
    <definedName name="______LA124">#REF!</definedName>
    <definedName name="______LAC18">#REF!</definedName>
    <definedName name="______MA2">#REF!</definedName>
    <definedName name="______Pa1">#REF!</definedName>
    <definedName name="______Pa2">#REF!</definedName>
    <definedName name="______Pa3">#REF!</definedName>
    <definedName name="______Pa4">#REF!</definedName>
    <definedName name="______PAG1">#REF!</definedName>
    <definedName name="______PAG2">#REF!</definedName>
    <definedName name="______PAG3">#REF!</definedName>
    <definedName name="______PAG4">#REF!</definedName>
    <definedName name="______PAG5">#REF!</definedName>
    <definedName name="______R43JH">#REF!</definedName>
    <definedName name="______R63JH">#REF!</definedName>
    <definedName name="______R84JH">#REF!</definedName>
    <definedName name="______REP43">#REF!</definedName>
    <definedName name="______SBC1">#REF!</definedName>
    <definedName name="______SBC3">#REF!</definedName>
    <definedName name="______SBC5">#REF!</definedName>
    <definedName name="______ST166">#REF!</definedName>
    <definedName name="______TEP44">#REF!</definedName>
    <definedName name="______TPE8016">#REF!</definedName>
    <definedName name="______TPE8020">#REF!</definedName>
    <definedName name="______TPE8025">#REF!</definedName>
    <definedName name="______TPF12">#REF!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Z2110">#REF!</definedName>
    <definedName name="______TZ212">#REF!</definedName>
    <definedName name="______TZ213">#REF!</definedName>
    <definedName name="______TZ214">#REF!</definedName>
    <definedName name="______TZ216">#REF!</definedName>
    <definedName name="______TZ262">#REF!</definedName>
    <definedName name="______TZ268">#REF!</definedName>
    <definedName name="______TZ32510">#REF!</definedName>
    <definedName name="_____ADH12">#REF!</definedName>
    <definedName name="_____ADM12">#REF!</definedName>
    <definedName name="_____ADM2">#REF!</definedName>
    <definedName name="_____ADM3">#REF!</definedName>
    <definedName name="_____ADM4" localSheetId="0">#REF!</definedName>
    <definedName name="_____ADM4">#REF!</definedName>
    <definedName name="_____AFC1">#REF!</definedName>
    <definedName name="_____AFC3">#REF!</definedName>
    <definedName name="_____AFC5">#REF!</definedName>
    <definedName name="_____AIU2" localSheetId="0">#REF!</definedName>
    <definedName name="_____AIU2">#REF!</definedName>
    <definedName name="_____AIU3">#REF!</definedName>
    <definedName name="_____BGC1">#REF!</definedName>
    <definedName name="_____BGC3">#REF!</definedName>
    <definedName name="_____BGC5">#REF!</definedName>
    <definedName name="_____CAC1">#REF!</definedName>
    <definedName name="_____CAC3">#REF!</definedName>
    <definedName name="_____CAC5">#REF!</definedName>
    <definedName name="_____CAN28">#REF!</definedName>
    <definedName name="_____CUA44">#REF!</definedName>
    <definedName name="_____LA124" localSheetId="0">#REF!</definedName>
    <definedName name="_____LA124">#REF!</definedName>
    <definedName name="_____LAC18">#REF!</definedName>
    <definedName name="_____MA2">#REF!</definedName>
    <definedName name="_____Pa1">#REF!</definedName>
    <definedName name="_____Pa2">#REF!</definedName>
    <definedName name="_____Pa3">#REF!</definedName>
    <definedName name="_____Pa4">#REF!</definedName>
    <definedName name="_____PAG1">#REF!</definedName>
    <definedName name="_____PAG2">#REF!</definedName>
    <definedName name="_____PAG3">#REF!</definedName>
    <definedName name="_____PAG4">#REF!</definedName>
    <definedName name="_____PAG5">#REF!</definedName>
    <definedName name="_____R32JH">#REF!</definedName>
    <definedName name="_____R64JH">#REF!</definedName>
    <definedName name="_____R84JH">#REF!</definedName>
    <definedName name="_____REP43">#REF!</definedName>
    <definedName name="_____SBC1">#REF!</definedName>
    <definedName name="_____SBC3">#REF!</definedName>
    <definedName name="_____SBC5">#REF!</definedName>
    <definedName name="_____ST166">#REF!</definedName>
    <definedName name="_____TEP44" localSheetId="0">#REF!</definedName>
    <definedName name="_____TEP44">#REF!</definedName>
    <definedName name="_____TPE8016">#REF!</definedName>
    <definedName name="_____TPE8020">#REF!</definedName>
    <definedName name="_____TPE8025">#REF!</definedName>
    <definedName name="_____TPF12">#REF!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N1611">#REF!</definedName>
    <definedName name="_____TZ132">#REF!</definedName>
    <definedName name="_____TZ133">#REF!</definedName>
    <definedName name="_____TZ2110">#REF!</definedName>
    <definedName name="_____TZ212" localSheetId="0">#REF!</definedName>
    <definedName name="_____TZ212">#REF!</definedName>
    <definedName name="_____TZ214" localSheetId="0">#REF!</definedName>
    <definedName name="_____TZ214">#REF!</definedName>
    <definedName name="_____TZ216" localSheetId="0">#REF!</definedName>
    <definedName name="_____TZ216">#REF!</definedName>
    <definedName name="____ADM2" localSheetId="0">#REF!</definedName>
    <definedName name="____ADM2">#REF!</definedName>
    <definedName name="____ADM3" localSheetId="0">#REF!</definedName>
    <definedName name="____ADM3">#REF!</definedName>
    <definedName name="____ADM4" localSheetId="0">#REF!</definedName>
    <definedName name="____ADM4">#REF!</definedName>
    <definedName name="____AFC1">#REF!</definedName>
    <definedName name="____AFC3">#REF!</definedName>
    <definedName name="____AFC5">#REF!</definedName>
    <definedName name="____AIU2" localSheetId="0">#REF!</definedName>
    <definedName name="____AIU2">#REF!</definedName>
    <definedName name="____AIU3">#REF!</definedName>
    <definedName name="____BGC1">#REF!</definedName>
    <definedName name="____BGC3">#REF!</definedName>
    <definedName name="____BGC5">#REF!</definedName>
    <definedName name="____CAC1">#REF!</definedName>
    <definedName name="____CAC3">#REF!</definedName>
    <definedName name="____CAC5">#REF!</definedName>
    <definedName name="____CAN28" localSheetId="0">#REF!</definedName>
    <definedName name="____CAN28">#REF!</definedName>
    <definedName name="____LA124" localSheetId="0">#REF!</definedName>
    <definedName name="____LA124">#REF!</definedName>
    <definedName name="____MA2">#REF!</definedName>
    <definedName name="____Pa1">#REF!</definedName>
    <definedName name="____Pa2">#REF!</definedName>
    <definedName name="____Pa3">#REF!</definedName>
    <definedName name="____Pa4">#REF!</definedName>
    <definedName name="____PAG1">#REF!</definedName>
    <definedName name="____PAG2">#REF!</definedName>
    <definedName name="____PAG3">#REF!</definedName>
    <definedName name="____PAG4">#REF!</definedName>
    <definedName name="____PAG5">#REF!</definedName>
    <definedName name="____REP43">#REF!</definedName>
    <definedName name="____SBC1">#REF!</definedName>
    <definedName name="____SBC3">#REF!</definedName>
    <definedName name="____SBC5">#REF!</definedName>
    <definedName name="____ST166">#REF!</definedName>
    <definedName name="____TEP44" localSheetId="0">#REF!</definedName>
    <definedName name="____TEP44">#REF!</definedName>
    <definedName name="____TPE8016">#REF!</definedName>
    <definedName name="____TPE8020">#REF!</definedName>
    <definedName name="____TPE8025">#REF!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N1611">#REF!</definedName>
    <definedName name="____TZ132">#REF!</definedName>
    <definedName name="____TZ133">#REF!</definedName>
    <definedName name="____TZ212" localSheetId="0">#REF!</definedName>
    <definedName name="____TZ212">#REF!</definedName>
    <definedName name="____TZ214" localSheetId="0">#REF!</definedName>
    <definedName name="____TZ214">#REF!</definedName>
    <definedName name="____TZ216" localSheetId="0">#REF!</definedName>
    <definedName name="____TZ216">#REF!</definedName>
    <definedName name="___ACT1">#REF!</definedName>
    <definedName name="___ACT2">#REF!</definedName>
    <definedName name="___ADM2" localSheetId="0">#REF!</definedName>
    <definedName name="___ADM2">#REF!</definedName>
    <definedName name="___ADM3" localSheetId="0">#REF!</definedName>
    <definedName name="___ADM3">#REF!</definedName>
    <definedName name="___ADM4" localSheetId="0">#REF!</definedName>
    <definedName name="___ADM4">#REF!</definedName>
    <definedName name="___AFC1">#REF!</definedName>
    <definedName name="___AFC3">#REF!</definedName>
    <definedName name="___AFC5">#REF!</definedName>
    <definedName name="___AIU2" localSheetId="0">#REF!</definedName>
    <definedName name="___AIU2">#REF!</definedName>
    <definedName name="___AIU3">#REF!</definedName>
    <definedName name="___BGC1">#REF!</definedName>
    <definedName name="___BGC3">#REF!</definedName>
    <definedName name="___BGC5">#REF!</definedName>
    <definedName name="___CAC1">#REF!</definedName>
    <definedName name="___CAC3">#REF!</definedName>
    <definedName name="___CAC5">#REF!</definedName>
    <definedName name="___CAN28" localSheetId="0">#REF!</definedName>
    <definedName name="___CAN28">#REF!</definedName>
    <definedName name="___CUA44">#REF!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LA124" localSheetId="0">#REF!</definedName>
    <definedName name="___LA124">#REF!</definedName>
    <definedName name="___MA2">#REF!</definedName>
    <definedName name="___Pa1">#REF!</definedName>
    <definedName name="___Pa2">#REF!</definedName>
    <definedName name="___Pa3">#REF!</definedName>
    <definedName name="___Pa4">#REF!</definedName>
    <definedName name="___PAG1">#REF!</definedName>
    <definedName name="___PAG2">#REF!</definedName>
    <definedName name="___PAG3">#REF!</definedName>
    <definedName name="___PAG4">#REF!</definedName>
    <definedName name="___PAG5">#REF!</definedName>
    <definedName name="___REP43">#REF!</definedName>
    <definedName name="___SBC1">#REF!</definedName>
    <definedName name="___SBC3">#REF!</definedName>
    <definedName name="___SBC5">#REF!</definedName>
    <definedName name="___ST166">#REF!</definedName>
    <definedName name="___SY106">#REF!</definedName>
    <definedName name="___SY86">#REF!</definedName>
    <definedName name="___TEP44" localSheetId="0">#REF!</definedName>
    <definedName name="___TEP44">#REF!</definedName>
    <definedName name="___TPE8016">#REF!</definedName>
    <definedName name="___TPE8020">#REF!</definedName>
    <definedName name="___TPE8025">#REF!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N1611">#REF!</definedName>
    <definedName name="___TZ132">#REF!</definedName>
    <definedName name="___TZ133">#REF!</definedName>
    <definedName name="___TZ212" localSheetId="0">#REF!</definedName>
    <definedName name="___TZ212">#REF!</definedName>
    <definedName name="___TZ214" localSheetId="0">#REF!</definedName>
    <definedName name="___TZ214">#REF!</definedName>
    <definedName name="___TZ216" localSheetId="0">#REF!</definedName>
    <definedName name="___TZ216">#REF!</definedName>
    <definedName name="___VLR1">(#REF!)</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CT1">#REF!</definedName>
    <definedName name="__ACT2">#REF!</definedName>
    <definedName name="__ADM2" localSheetId="0">#REF!</definedName>
    <definedName name="__ADM2">#REF!</definedName>
    <definedName name="__ADM3" localSheetId="0">#REF!</definedName>
    <definedName name="__ADM3">#REF!</definedName>
    <definedName name="__ADM4" localSheetId="0">#REF!</definedName>
    <definedName name="__ADM4">#REF!</definedName>
    <definedName name="__AFC1">#REF!</definedName>
    <definedName name="__AFC3">#REF!</definedName>
    <definedName name="__AFC5">#REF!</definedName>
    <definedName name="__AIU2" localSheetId="0">#REF!</definedName>
    <definedName name="__aiu2">#REF!</definedName>
    <definedName name="__AIU3">#REF!</definedName>
    <definedName name="__AIU5">#REF!</definedName>
    <definedName name="__BGC1">#REF!</definedName>
    <definedName name="__BGC3">#REF!</definedName>
    <definedName name="__BGC5">#REF!</definedName>
    <definedName name="__CAC1">#REF!</definedName>
    <definedName name="__CAC3">#REF!</definedName>
    <definedName name="__CAC5">#REF!</definedName>
    <definedName name="__CAN28" localSheetId="0">#REF!</definedName>
    <definedName name="__CAN28">#REF!</definedName>
    <definedName name="__CUA4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LA124" localSheetId="0">#REF!</definedName>
    <definedName name="__LA124">#REF!</definedName>
    <definedName name="__MA2">#REF!</definedName>
    <definedName name="__Pa1">#REF!</definedName>
    <definedName name="__Pa2">#REF!</definedName>
    <definedName name="__Pa3">#REF!</definedName>
    <definedName name="__Pa4">#REF!</definedName>
    <definedName name="__PAG1">#REF!</definedName>
    <definedName name="__PAG2">#REF!</definedName>
    <definedName name="__PAG3">#REF!</definedName>
    <definedName name="__PAG4">#REF!</definedName>
    <definedName name="__PAG5">#REF!</definedName>
    <definedName name="__REP43">#REF!</definedName>
    <definedName name="__SBC1">#REF!</definedName>
    <definedName name="__SBC3">#REF!</definedName>
    <definedName name="__SBC5">#REF!</definedName>
    <definedName name="__shared_1_0_0">"#REF!*#REF!"</definedName>
    <definedName name="__shared_1_0_1">"#REF!*#REF!"</definedName>
    <definedName name="__shared_1_0_1_1">"#REF!*#REF!"</definedName>
    <definedName name="__shared_1_0_1_2">"#REF!*#REF!"</definedName>
    <definedName name="__shared_1_0_1_3">"#REF!*#REF!"</definedName>
    <definedName name="__shared_1_0_2">"#REF!*#REF!"</definedName>
    <definedName name="__shared_1_0_2_1">"#REF!*#REF!"</definedName>
    <definedName name="__shared_1_0_2_2">"#REF!*#REF!"</definedName>
    <definedName name="__shared_1_0_2_3">"#REF!*#REF!"</definedName>
    <definedName name="__shared_1_0_2_4">"#REF!*#REF!"</definedName>
    <definedName name="__shared_1_0_3">"#REF!*#REF!"</definedName>
    <definedName name="__shared_1_0_3_1">"#REF!*#REF!"</definedName>
    <definedName name="__shared_1_0_3_2">"#REF!*#REF!"</definedName>
    <definedName name="__shared_1_0_3_3">"#REF!*#REF!"</definedName>
    <definedName name="__shared_1_0_3_4">"#REF!*#REF!"</definedName>
    <definedName name="__shared_1_0_4">"#REF!*#REF!"</definedName>
    <definedName name="__shared_1_0_4_1">"#REF!*#REF!"</definedName>
    <definedName name="__shared_1_0_4_2">"#REF!*#REF!"</definedName>
    <definedName name="__shared_1_0_4_3">"#REF!*#REF!"</definedName>
    <definedName name="__shared_1_0_5">"#REF!*#REF!"</definedName>
    <definedName name="__shared_1_0_5_1">"#REF!*#REF!"</definedName>
    <definedName name="__shared_1_0_5_2">"#REF!*#REF!"</definedName>
    <definedName name="__shared_1_0_6">"#REF!*#REF!"</definedName>
    <definedName name="__ST166">#REF!</definedName>
    <definedName name="__TEP44" localSheetId="0">#REF!</definedName>
    <definedName name="__TEP44">#REF!</definedName>
    <definedName name="__THF128">#REF!</definedName>
    <definedName name="__TPE8016">#REF!</definedName>
    <definedName name="__TPE8020">#REF!</definedName>
    <definedName name="__TPE8025">#REF!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N1611">#REF!</definedName>
    <definedName name="__TZ132">#REF!</definedName>
    <definedName name="__TZ133">#REF!</definedName>
    <definedName name="__TZ212" localSheetId="0">#REF!</definedName>
    <definedName name="__TZ214" localSheetId="0">#REF!</definedName>
    <definedName name="__TZ214">#REF!</definedName>
    <definedName name="__TZ216" localSheetId="0">#REF!</definedName>
    <definedName name="__TZ216">#REF!</definedName>
    <definedName name="__VLR1">(#REF!)</definedName>
    <definedName name="_1">#N/A</definedName>
    <definedName name="_123" hidden="1">#REF!</definedName>
    <definedName name="_1Excel_BuiltIn_Print_Area_1_1">#REF!</definedName>
    <definedName name="_1Sin_nombre">#REF!</definedName>
    <definedName name="_2">#N/A</definedName>
    <definedName name="_2Excel_BuiltIn_Print_Area_2_1">#REF!</definedName>
    <definedName name="_2Sin_nombre">#REF!</definedName>
    <definedName name="_3">#REF!</definedName>
    <definedName name="_30__AIU">#REF!</definedName>
    <definedName name="_3Excel_BuiltIn_Print_Area_4_1">#REF!</definedName>
    <definedName name="_4">#REF!</definedName>
    <definedName name="_42C">#REF!</definedName>
    <definedName name="_42D">#REF!</definedName>
    <definedName name="_42E">#REF!</definedName>
    <definedName name="_44">#REF!</definedName>
    <definedName name="_4Excel_BuiltIn_Print_Area_4_1_1">#REF!</definedName>
    <definedName name="_5Excel_BuiltIn_Print_Area_5_1">#REF!</definedName>
    <definedName name="_6">#REF!</definedName>
    <definedName name="_6Excel_BuiltIn_Print_Area_5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CT1">#REF!</definedName>
    <definedName name="_ACT2">#REF!</definedName>
    <definedName name="_ACT21">#REF!</definedName>
    <definedName name="_ADH12" localSheetId="0">#REF!</definedName>
    <definedName name="_ADH12">#REF!</definedName>
    <definedName name="_ADM12" localSheetId="0">#REF!</definedName>
    <definedName name="_ADM12">#REF!</definedName>
    <definedName name="_ADM2" localSheetId="0">#REF!</definedName>
    <definedName name="_ADM2">#REF!</definedName>
    <definedName name="_ADM3" localSheetId="0">#REF!</definedName>
    <definedName name="_ADM3">#REF!</definedName>
    <definedName name="_ADM34">#REF!</definedName>
    <definedName name="_ADM4" localSheetId="0">#REF!</definedName>
    <definedName name="_ADM4">#REF!</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IU2" localSheetId="0">#REF!</definedName>
    <definedName name="_aiu2">#REF!</definedName>
    <definedName name="_AIU3">#REF!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BLO20" localSheetId="0">#REF!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cal16" localSheetId="17">#REF!</definedName>
    <definedName name="_cal16" localSheetId="18">#REF!</definedName>
    <definedName name="_cal16">#REF!</definedName>
    <definedName name="_cal18" localSheetId="17">#REF!</definedName>
    <definedName name="_cal18" localSheetId="18">#REF!</definedName>
    <definedName name="_cal18">#REF!</definedName>
    <definedName name="_cal22" localSheetId="17">#REF!</definedName>
    <definedName name="_cal22" localSheetId="18">#REF!</definedName>
    <definedName name="_cal22">#REF!</definedName>
    <definedName name="_CAN28" localSheetId="0">#REF!</definedName>
    <definedName name="_CAN28">#REF!</definedName>
    <definedName name="_Cod1" localSheetId="17">#REF!</definedName>
    <definedName name="_Cod1" localSheetId="18">#REF!</definedName>
    <definedName name="_Cod1" localSheetId="0">#REF!</definedName>
    <definedName name="_Cod1">#REF!</definedName>
    <definedName name="_Cos1">#REF!</definedName>
    <definedName name="_CUA44" localSheetId="0">#REF!</definedName>
    <definedName name="_CUA44">#REF!</definedName>
    <definedName name="_dasd"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 localSheetId="0">#REF!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C">#N/A</definedName>
    <definedName name="_FEC5">#REF!,#REF!</definedName>
    <definedName name="_Fill" localSheetId="14" hidden="1">#REF!</definedName>
    <definedName name="_Fill" localSheetId="17" hidden="1">#REF!</definedName>
    <definedName name="_Fill" localSheetId="18" hidden="1">#REF!</definedName>
    <definedName name="_Fill" localSheetId="9" hidden="1">#REF!</definedName>
    <definedName name="_Fill" localSheetId="11" hidden="1">#REF!</definedName>
    <definedName name="_Fill" localSheetId="13" hidden="1">#REF!</definedName>
    <definedName name="_Fill" localSheetId="20" hidden="1">#REF!</definedName>
    <definedName name="_Fill" localSheetId="0" hidden="1">#REF!</definedName>
    <definedName name="_Fill" localSheetId="22" hidden="1">#REF!</definedName>
    <definedName name="_Fill" localSheetId="21" hidden="1">#REF!</definedName>
    <definedName name="_Fill" localSheetId="2" hidden="1">#REF!</definedName>
    <definedName name="_Fill" hidden="1">#REF!</definedName>
    <definedName name="_xlnm._FilterDatabase" localSheetId="14" hidden="1">#REF!</definedName>
    <definedName name="_xlnm._FilterDatabase" localSheetId="17" hidden="1">#REF!</definedName>
    <definedName name="_xlnm._FilterDatabase" localSheetId="18" hidden="1">#REF!</definedName>
    <definedName name="_xlnm._FilterDatabase" localSheetId="9" hidden="1">#REF!</definedName>
    <definedName name="_xlnm._FilterDatabase" localSheetId="11" hidden="1">#REF!</definedName>
    <definedName name="_xlnm._FilterDatabase" localSheetId="13" hidden="1">#REF!</definedName>
    <definedName name="_xlnm._FilterDatabase" localSheetId="20" hidden="1">#REF!</definedName>
    <definedName name="_xlnm._FilterDatabase" localSheetId="0" hidden="1">#REF!</definedName>
    <definedName name="_xlnm._FilterDatabase" localSheetId="22" hidden="1">#REF!</definedName>
    <definedName name="_xlnm._FilterDatabase" localSheetId="21" hidden="1">#REF!</definedName>
    <definedName name="_xlnm._FilterDatabase" localSheetId="2" hidden="1">PRESUPUESTO!$A$18:$H$18</definedName>
    <definedName name="_xlnm._FilterDatabase" hidden="1">#REF!</definedName>
    <definedName name="_FOR1">#REF!</definedName>
    <definedName name="_FS01" localSheetId="5">#REF!</definedName>
    <definedName name="_FS01" localSheetId="15">#REF!</definedName>
    <definedName name="_FS01" localSheetId="16">#REF!</definedName>
    <definedName name="_FS01" localSheetId="18">#REF!</definedName>
    <definedName name="_FS01" localSheetId="6">#REF!</definedName>
    <definedName name="_FS01" localSheetId="7">#REF!</definedName>
    <definedName name="_FS01" localSheetId="10">#REF!</definedName>
    <definedName name="_FS01" localSheetId="11">#REF!</definedName>
    <definedName name="_FS01" localSheetId="22">#REF!</definedName>
    <definedName name="_FS01">#REF!</definedName>
    <definedName name="_FYB02" localSheetId="0">#REF!</definedName>
    <definedName name="_FYB02">#REF!</definedName>
    <definedName name="_FYB03" localSheetId="0">#REF!</definedName>
    <definedName name="_FYB03">#REF!</definedName>
    <definedName name="_FYB10">#REF!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#REF!</definedName>
    <definedName name="_HUM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4" hidden="1">#REF!</definedName>
    <definedName name="_Key1" localSheetId="17" hidden="1">#REF!</definedName>
    <definedName name="_Key1" localSheetId="18" hidden="1">#REF!</definedName>
    <definedName name="_Key1" localSheetId="9" hidden="1">#REF!</definedName>
    <definedName name="_Key1" localSheetId="11" hidden="1">#REF!</definedName>
    <definedName name="_Key1" localSheetId="13" hidden="1">#REF!</definedName>
    <definedName name="_Key1" localSheetId="20" hidden="1">#REF!</definedName>
    <definedName name="_Key1" localSheetId="0" hidden="1">#REF!</definedName>
    <definedName name="_Key1" localSheetId="22" hidden="1">#REF!</definedName>
    <definedName name="_Key1" localSheetId="21" hidden="1">#REF!</definedName>
    <definedName name="_Key1" hidden="1">#REF!</definedName>
    <definedName name="_Key2" hidden="1">#REF!</definedName>
    <definedName name="_kjk6" hidden="1">{"TAB1",#N/A,TRUE,"GENERAL";"TAB2",#N/A,TRUE,"GENERAL";"TAB3",#N/A,TRUE,"GENERAL";"TAB4",#N/A,TRUE,"GENERAL";"TAB5",#N/A,TRUE,"GENERAL"}</definedName>
    <definedName name="_LA124" localSheetId="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7">#REF!</definedName>
    <definedName name="_MA2" localSheetId="18">#REF!</definedName>
    <definedName name="_MA2" localSheetId="0">#REF!</definedName>
    <definedName name="_MA2">#REF!</definedName>
    <definedName name="_mdc1">#REF!</definedName>
    <definedName name="_mdc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#REF!</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 localSheetId="0">#REF!</definedName>
    <definedName name="_Pa1">#REF!</definedName>
    <definedName name="_Pa2" localSheetId="0">#REF!</definedName>
    <definedName name="_Pa2">#REF!</definedName>
    <definedName name="_Pa3" localSheetId="0">#REF!</definedName>
    <definedName name="_Pa3">#REF!</definedName>
    <definedName name="_Pa4" localSheetId="0">#REF!</definedName>
    <definedName name="_Pa4">#REF!</definedName>
    <definedName name="_PAG1">#REF!</definedName>
    <definedName name="_PAG2">#REF!</definedName>
    <definedName name="_PAG3">#REF!</definedName>
    <definedName name="_PAG4">#REF!</definedName>
    <definedName name="_PAG5">#REF!</definedName>
    <definedName name="_Parse_Out" localSheetId="14" hidden="1">#REF!</definedName>
    <definedName name="_Parse_Out" localSheetId="17" hidden="1">#REF!</definedName>
    <definedName name="_Parse_Out" localSheetId="18" hidden="1">#REF!</definedName>
    <definedName name="_Parse_Out" localSheetId="9" hidden="1">#REF!</definedName>
    <definedName name="_Parse_Out" localSheetId="11" hidden="1">#REF!</definedName>
    <definedName name="_Parse_Out" localSheetId="13" hidden="1">#REF!</definedName>
    <definedName name="_Parse_Out" localSheetId="20" hidden="1">#REF!</definedName>
    <definedName name="_Parse_Out" localSheetId="22" hidden="1">#REF!</definedName>
    <definedName name="_Parse_Out" localSheetId="21" hidden="1">#REF!</definedName>
    <definedName name="_Parse_Out" hidden="1">#REF!</definedName>
    <definedName name="_pl1">#REF!</definedName>
    <definedName name="_pl2">#REF!</definedName>
    <definedName name="_PRE1">#REF!</definedName>
    <definedName name="_r" hidden="1">{"TAB1",#N/A,TRUE,"GENERAL";"TAB2",#N/A,TRUE,"GENERAL";"TAB3",#N/A,TRUE,"GENERAL";"TAB4",#N/A,TRUE,"GENERAL";"TAB5",#N/A,TRUE,"GENERAL"}</definedName>
    <definedName name="_R108BB">#REF!</definedName>
    <definedName name="_R126EXBB">#REF!</definedName>
    <definedName name="_R32JH" localSheetId="0">#REF!</definedName>
    <definedName name="_R32JH">#REF!</definedName>
    <definedName name="_R42JH" localSheetId="0">#REF!</definedName>
    <definedName name="_R42JH">#REF!</definedName>
    <definedName name="_R43JH" localSheetId="0">#REF!</definedName>
    <definedName name="_R43JH">#REF!</definedName>
    <definedName name="_r4r" hidden="1">{"via1",#N/A,TRUE,"general";"via2",#N/A,TRUE,"general";"via3",#N/A,TRUE,"general"}</definedName>
    <definedName name="_R63BB">#REF!</definedName>
    <definedName name="_R63JH">#REF!</definedName>
    <definedName name="_R64BB">#REF!</definedName>
    <definedName name="_R64JH">#REF!</definedName>
    <definedName name="_R86JH">#REF!</definedName>
    <definedName name="_REP32">#REF!</definedName>
    <definedName name="_REP43" localSheetId="0">#REF!</definedName>
    <definedName name="_REP43">#REF!</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SMMLV" localSheetId="0">#REF!</definedName>
    <definedName name="_SMMLV">#REF!</definedName>
    <definedName name="_Sort" localSheetId="14" hidden="1">#REF!</definedName>
    <definedName name="_Sort" localSheetId="17" hidden="1">#REF!</definedName>
    <definedName name="_Sort" localSheetId="18" hidden="1">#REF!</definedName>
    <definedName name="_Sort" localSheetId="9" hidden="1">#REF!</definedName>
    <definedName name="_Sort" localSheetId="11" hidden="1">#REF!</definedName>
    <definedName name="_Sort" localSheetId="13" hidden="1">#REF!</definedName>
    <definedName name="_Sort" localSheetId="20" hidden="1">#REF!</definedName>
    <definedName name="_Sort" localSheetId="0" hidden="1">#REF!</definedName>
    <definedName name="_Sort" localSheetId="22" hidden="1">#REF!</definedName>
    <definedName name="_Sort" localSheetId="21" hidden="1">#REF!</definedName>
    <definedName name="_Sort" hidden="1">#REF!</definedName>
    <definedName name="_Sort1" hidden="1">#REF!</definedName>
    <definedName name="_ST106" localSheetId="0">#REF!</definedName>
    <definedName name="_ST106">#REF!</definedName>
    <definedName name="_ST126" localSheetId="0">#REF!</definedName>
    <definedName name="_ST126">#REF!</definedName>
    <definedName name="_ST146" localSheetId="0">#REF!</definedName>
    <definedName name="_ST146">#REF!</definedName>
    <definedName name="_ST166" localSheetId="0">#REF!</definedName>
    <definedName name="_ST166">#REF!</definedName>
    <definedName name="_ST186" localSheetId="0">#REF!</definedName>
    <definedName name="_ST186">#REF!</definedName>
    <definedName name="_ST206" localSheetId="0">#REF!</definedName>
    <definedName name="_ST206">#REF!</definedName>
    <definedName name="_ST246">#REF!</definedName>
    <definedName name="_ST66">#REF!</definedName>
    <definedName name="_ST86" localSheetId="0">#REF!</definedName>
    <definedName name="_ST86">#REF!</definedName>
    <definedName name="_SY124">#REF!</definedName>
    <definedName name="_SY126">#REF!</definedName>
    <definedName name="_SY164">#REF!</definedName>
    <definedName name="_SY166">#REF!</definedName>
    <definedName name="_SY186">#REF!</definedName>
    <definedName name="_SY206">#REF!</definedName>
    <definedName name="_SY64" localSheetId="0">#REF!</definedName>
    <definedName name="_SY64">#REF!</definedName>
    <definedName name="_SY84">#REF!</definedName>
    <definedName name="_SY86">#REF!</definedName>
    <definedName name="_T22JH" localSheetId="0">#REF!</definedName>
    <definedName name="_T22JH">#REF!</definedName>
    <definedName name="_t3" hidden="1">{"TAB1",#N/A,TRUE,"GENERAL";"TAB2",#N/A,TRUE,"GENERAL";"TAB3",#N/A,TRUE,"GENERAL";"TAB4",#N/A,TRUE,"GENERAL";"TAB5",#N/A,TRUE,"GENERAL"}</definedName>
    <definedName name="_T32JH" localSheetId="0">#REF!</definedName>
    <definedName name="_T32JH">#REF!</definedName>
    <definedName name="_T33JH" localSheetId="0">#REF!</definedName>
    <definedName name="_T33JH">#REF!</definedName>
    <definedName name="_t4" hidden="1">{"via1",#N/A,TRUE,"general";"via2",#N/A,TRUE,"general";"via3",#N/A,TRUE,"general"}</definedName>
    <definedName name="_T42JH" localSheetId="0">#REF!</definedName>
    <definedName name="_T42JH">#REF!</definedName>
    <definedName name="_T43JH" localSheetId="0">#REF!</definedName>
    <definedName name="_T43JH">#REF!</definedName>
    <definedName name="_T44JH" localSheetId="0">#REF!</definedName>
    <definedName name="_T44JH">#REF!</definedName>
    <definedName name="_t5" hidden="1">{"TAB1",#N/A,TRUE,"GENERAL";"TAB2",#N/A,TRUE,"GENERAL";"TAB3",#N/A,TRUE,"GENERAL";"TAB4",#N/A,TRUE,"GENERAL";"TAB5",#N/A,TRUE,"GENERAL"}</definedName>
    <definedName name="_t6" hidden="1">{"via1",#N/A,TRUE,"general";"via2",#N/A,TRUE,"general";"via3",#N/A,TRUE,"general"}</definedName>
    <definedName name="_T62JH">#REF!</definedName>
    <definedName name="_T63JH">#REF!</definedName>
    <definedName name="_T64JH">#REF!</definedName>
    <definedName name="_t66" hidden="1">{"TAB1",#N/A,TRUE,"GENERAL";"TAB2",#N/A,TRUE,"GENERAL";"TAB3",#N/A,TRUE,"GENERAL";"TAB4",#N/A,TRUE,"GENERAL";"TAB5",#N/A,TRUE,"GENERAL"}</definedName>
    <definedName name="_T66JH">#REF!</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hidden="1">{"via1",#N/A,TRUE,"general";"via2",#N/A,TRUE,"general";"via3",#N/A,TRUE,"general"}</definedName>
    <definedName name="_T88EB">#REF!</definedName>
    <definedName name="_t9" hidden="1">{"TAB1",#N/A,TRUE,"GENERAL";"TAB2",#N/A,TRUE,"GENERAL";"TAB3",#N/A,TRUE,"GENERAL";"TAB4",#N/A,TRUE,"GENERAL";"TAB5",#N/A,TRUE,"GENERAL"}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LA" localSheetId="0">#REF!</definedName>
    <definedName name="_TABLA">#REF!</definedName>
    <definedName name="_Table1_Out" hidden="1">#REF!</definedName>
    <definedName name="_Table2_In2" hidden="1">#REF!</definedName>
    <definedName name="_Table2_Out" hidden="1">#REF!</definedName>
    <definedName name="_TACOM" localSheetId="0">#REF!</definedName>
    <definedName name="_TACOM">#REF!</definedName>
    <definedName name="_TACOR" localSheetId="0">#REF!</definedName>
    <definedName name="_TACOR">#REF!</definedName>
    <definedName name="_TAP2" localSheetId="0">#REF!</definedName>
    <definedName name="_TAP2">#REF!</definedName>
    <definedName name="_TAPAM" localSheetId="0">#REF!</definedName>
    <definedName name="_TAPAM">#REF!</definedName>
    <definedName name="_TASP1" localSheetId="0">#REF!</definedName>
    <definedName name="_TASP1">#REF!</definedName>
    <definedName name="_TASP2" localSheetId="0">#REF!</definedName>
    <definedName name="_TASP2">#REF!</definedName>
    <definedName name="_TASR4">#REF!</definedName>
    <definedName name="_TEE32" localSheetId="0">#REF!</definedName>
    <definedName name="_TEE32">#REF!</definedName>
    <definedName name="_TEJAB" localSheetId="0">#REF!</definedName>
    <definedName name="_TEJAJ" localSheetId="0">#REF!</definedName>
    <definedName name="_TEJAJ">#REF!</definedName>
    <definedName name="_TELEP" localSheetId="0">#REF!</definedName>
    <definedName name="_TELEP">#REF!</definedName>
    <definedName name="_TEP44" localSheetId="0">#REF!</definedName>
    <definedName name="_TEP44">#REF!</definedName>
    <definedName name="_TGALV" localSheetId="0">#REF!</definedName>
    <definedName name="_TGALV">#REF!</definedName>
    <definedName name="_TH10J">#REF!</definedName>
    <definedName name="_THF12">#REF!</definedName>
    <definedName name="_THF6JH">#REF!</definedName>
    <definedName name="_THF6RO">#REF!</definedName>
    <definedName name="_THF8JH">#REF!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 localSheetId="0">#REF!</definedName>
    <definedName name="_TNOV10">#REF!</definedName>
    <definedName name="_TNOV12" localSheetId="0">#REF!</definedName>
    <definedName name="_TNOV14">#REF!</definedName>
    <definedName name="_TNOV16" localSheetId="0">#REF!</definedName>
    <definedName name="_TNOV16">#REF!</definedName>
    <definedName name="_TNOV18" localSheetId="0">#REF!</definedName>
    <definedName name="_TNOV20" localSheetId="0">#REF!</definedName>
    <definedName name="_TNOV20">#REF!</definedName>
    <definedName name="_TNOV24">#REF!</definedName>
    <definedName name="_TNOV6" localSheetId="0">#REF!</definedName>
    <definedName name="_TNOV6">#REF!</definedName>
    <definedName name="_TNOV8" localSheetId="0">#REF!</definedName>
    <definedName name="_TNOV8">#REF!</definedName>
    <definedName name="_TORNI" localSheetId="0">#REF!</definedName>
    <definedName name="_TORNI">#REF!</definedName>
    <definedName name="_TPE8016" localSheetId="0">#REF!</definedName>
    <definedName name="_TPE8016">#REF!</definedName>
    <definedName name="_TPE8020" localSheetId="0">#REF!</definedName>
    <definedName name="_TPE8020">#REF!</definedName>
    <definedName name="_TPE8025" localSheetId="0">#REF!</definedName>
    <definedName name="_TPE8025">#REF!</definedName>
    <definedName name="_TPF12">#REF!</definedName>
    <definedName name="_TPN1002" localSheetId="0">#REF!</definedName>
    <definedName name="_TPN1002">#REF!</definedName>
    <definedName name="_TPN1003" localSheetId="0">#REF!</definedName>
    <definedName name="_TPN1003">#REF!</definedName>
    <definedName name="_TPN1004" localSheetId="0">#REF!</definedName>
    <definedName name="_TPN1004">#REF!</definedName>
    <definedName name="_TPN1006" localSheetId="0">#REF!</definedName>
    <definedName name="_TPN1006">#REF!</definedName>
    <definedName name="_TPN10075" localSheetId="0">#REF!</definedName>
    <definedName name="_TPN10075">#REF!</definedName>
    <definedName name="_TPN1008" localSheetId="0">#REF!</definedName>
    <definedName name="_TPN1008">#REF!</definedName>
    <definedName name="_TPN1010">#REF!</definedName>
    <definedName name="_TPN1012">#REF!</definedName>
    <definedName name="_TPN1202" localSheetId="0">#REF!</definedName>
    <definedName name="_TPN1202">#REF!</definedName>
    <definedName name="_TPN1203" localSheetId="0">#REF!</definedName>
    <definedName name="_TPN1203">#REF!</definedName>
    <definedName name="_TPN1204" localSheetId="0">#REF!</definedName>
    <definedName name="_TPN1204">#REF!</definedName>
    <definedName name="_TPN1206" localSheetId="0">#REF!</definedName>
    <definedName name="_TPN1206">#REF!</definedName>
    <definedName name="_TPN1208" localSheetId="0">#REF!</definedName>
    <definedName name="_TPN1208">#REF!</definedName>
    <definedName name="_TPN1210">#REF!</definedName>
    <definedName name="_TPN1212">#REF!</definedName>
    <definedName name="_TPN16012" localSheetId="0">#REF!</definedName>
    <definedName name="_TPN16012">#REF!</definedName>
    <definedName name="_TPN1602" localSheetId="0">#REF!</definedName>
    <definedName name="_TPN1602">#REF!</definedName>
    <definedName name="_TPN1603" localSheetId="0">#REF!</definedName>
    <definedName name="_TPN1603">#REF!</definedName>
    <definedName name="_TPN1604" localSheetId="0">#REF!</definedName>
    <definedName name="_TPN1604">#REF!</definedName>
    <definedName name="_TPN1606" localSheetId="0">#REF!</definedName>
    <definedName name="_TPN1606">#REF!</definedName>
    <definedName name="_TPN1608" localSheetId="0">#REF!</definedName>
    <definedName name="_TPN1608">#REF!</definedName>
    <definedName name="_TPN1610">#REF!</definedName>
    <definedName name="_TPN1611" localSheetId="0">#REF!</definedName>
    <definedName name="_TPN1611">#REF!</definedName>
    <definedName name="_TPN2096">#REF!</definedName>
    <definedName name="_TPVCME" localSheetId="0">#REF!</definedName>
    <definedName name="_TPVCP1" localSheetId="0">#REF!</definedName>
    <definedName name="_TRANAG" localSheetId="0">#REF!</definedName>
    <definedName name="_TRANAR" localSheetId="0">#REF!</definedName>
    <definedName name="_TRANS" localSheetId="0">#REF!</definedName>
    <definedName name="_TRITM" localSheetId="0">#REF!</definedName>
    <definedName name="_TRITU" localSheetId="0">#REF!</definedName>
    <definedName name="_TRITU">#REF!</definedName>
    <definedName name="_TUAC12">#REF!</definedName>
    <definedName name="_tub91">#REF!</definedName>
    <definedName name="_TUBS4" localSheetId="0">#REF!</definedName>
    <definedName name="_TUBS6" localSheetId="0">#REF!</definedName>
    <definedName name="_TZ132" localSheetId="0">#REF!</definedName>
    <definedName name="_TZ133" localSheetId="0">#REF!</definedName>
    <definedName name="_TZ2114">#REF!</definedName>
    <definedName name="_TZ2116">#REF!</definedName>
    <definedName name="_TZ212" localSheetId="0">#REF!</definedName>
    <definedName name="_TZ212">#REF!</definedName>
    <definedName name="_TZ213" localSheetId="0">#REF!</definedName>
    <definedName name="_TZ213">#REF!</definedName>
    <definedName name="_TZ214" localSheetId="0">#REF!</definedName>
    <definedName name="_TZ216" localSheetId="0">#REF!</definedName>
    <definedName name="_TZ4110">#REF!</definedName>
    <definedName name="_TZ4112">#REF!</definedName>
    <definedName name="_TZ414">#REF!</definedName>
    <definedName name="_TZ416">#REF!</definedName>
    <definedName name="_TZ41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P215">#REF!</definedName>
    <definedName name="_UREP3" localSheetId="0">#REF!</definedName>
    <definedName name="_UREP3">#REF!</definedName>
    <definedName name="_UREP4">#REF!</definedName>
    <definedName name="_UREP6">#REF!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MA4">#REF!</definedName>
    <definedName name="_VCEL2">#REF!</definedName>
    <definedName name="_VCEL3">#REF!</definedName>
    <definedName name="_VCELA3">#REF!</definedName>
    <definedName name="_vfv4" hidden="1">{"via1",#N/A,TRUE,"general";"via2",#N/A,TRUE,"general";"via3",#N/A,TRUE,"general"}</definedName>
    <definedName name="_VIAJE" localSheetId="0">#REF!</definedName>
    <definedName name="_VIBGA" localSheetId="0">#REF!</definedName>
    <definedName name="_VIBRCOM" localSheetId="0">#REF!</definedName>
    <definedName name="_VIBRE" localSheetId="0">#REF!</definedName>
    <definedName name="_VIBRE">#REF!</definedName>
    <definedName name="_VIDRI" localSheetId="0">#REF!</definedName>
    <definedName name="_VIDRI">#REF!</definedName>
    <definedName name="_VLR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22EL">#REF!</definedName>
    <definedName name="_Y22JH">#REF!</definedName>
    <definedName name="_y3" hidden="1">{"via1",#N/A,TRUE,"general";"via2",#N/A,TRUE,"general";"via3",#N/A,TRUE,"general"}</definedName>
    <definedName name="_Y33JH">#REF!</definedName>
    <definedName name="_y4" hidden="1">{"via1",#N/A,TRUE,"general";"via2",#N/A,TRUE,"general";"via3",#N/A,TRUE,"general"}</definedName>
    <definedName name="_Y44EL">#REF!</definedName>
    <definedName name="_Y44JH">#REF!</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7">#REF!</definedName>
    <definedName name="A" localSheetId="18">#REF!</definedName>
    <definedName name="a" localSheetId="0">#REF!</definedName>
    <definedName name="A" localSheetId="2">#REF!</definedName>
    <definedName name="A">#REF!</definedName>
    <definedName name="A.I.U">#REF!</definedName>
    <definedName name="A.PVC">#REF!</definedName>
    <definedName name="A_ANT">#REF!</definedName>
    <definedName name="A_HOY">#REF!</definedName>
    <definedName name="A_IMPRESIÓN_IM" localSheetId="17">#REF!</definedName>
    <definedName name="A_IMPRESIÓN_IM" localSheetId="18">#REF!</definedName>
    <definedName name="A_impresión_IM" localSheetId="0">#REF!</definedName>
    <definedName name="A_IMPRESIÓN_IM">#REF!</definedName>
    <definedName name="A_IMPRESIÚN_IM">#REF!</definedName>
    <definedName name="A0">#REF!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40FI" localSheetId="0">#REF!</definedName>
    <definedName name="A40LI" localSheetId="0">#REF!</definedName>
    <definedName name="A60FI" localSheetId="0">#REF!</definedName>
    <definedName name="A60FI1" localSheetId="0">#REF!</definedName>
    <definedName name="aa" localSheetId="17">#REF!</definedName>
    <definedName name="aa" localSheetId="18">#REF!</definedName>
    <definedName name="aa" localSheetId="0">#REF!</definedName>
    <definedName name="aa">#REF!</definedName>
    <definedName name="aaa" localSheetId="17">#REF!</definedName>
    <definedName name="aaa" localSheetId="18">#REF!</definedName>
    <definedName name="AAA" localSheetId="0">#REF!</definedName>
    <definedName name="aaa">#REF!</definedName>
    <definedName name="aaaa">#REF!</definedName>
    <definedName name="aaaaa">#REF!</definedName>
    <definedName name="AAAAAA">#REF!</definedName>
    <definedName name="aaaaas" hidden="1">{"TAB1",#N/A,TRUE,"GENERAL";"TAB2",#N/A,TRUE,"GENERAL";"TAB3",#N/A,TRUE,"GENERAL";"TAB4",#N/A,TRUE,"GENERAL";"TAB5",#N/A,TRUE,"GENERAL"}</definedName>
    <definedName name="AAC" localSheetId="0">#REF!</definedName>
    <definedName name="AAC">#REF!</definedName>
    <definedName name="aas" hidden="1">{"TAB1",#N/A,TRUE,"GENERAL";"TAB2",#N/A,TRUE,"GENERAL";"TAB3",#N/A,TRUE,"GENERAL";"TAB4",#N/A,TRUE,"GENERAL";"TAB5",#N/A,TRUE,"GENERAL"}</definedName>
    <definedName name="ab">#REF!</definedName>
    <definedName name="ABC" localSheetId="17">#REF!</definedName>
    <definedName name="ABC" localSheetId="18">#REF!</definedName>
    <definedName name="ABC" localSheetId="2">#REF!</definedName>
    <definedName name="ABC">#REF!</definedName>
    <definedName name="ABFIN">#REF!</definedName>
    <definedName name="ABG" localSheetId="0">#REF!</definedName>
    <definedName name="ABG">#REF!</definedName>
    <definedName name="ABIN">#REF!</definedName>
    <definedName name="absc1" localSheetId="5">#REF!</definedName>
    <definedName name="absc1" localSheetId="15">#REF!</definedName>
    <definedName name="absc1" localSheetId="16">#REF!</definedName>
    <definedName name="absc1" localSheetId="18">#REF!</definedName>
    <definedName name="absc1" localSheetId="6">#REF!</definedName>
    <definedName name="absc1" localSheetId="7">#REF!</definedName>
    <definedName name="absc1" localSheetId="10">#REF!</definedName>
    <definedName name="absc1" localSheetId="11">#REF!</definedName>
    <definedName name="absc1" localSheetId="22">#REF!</definedName>
    <definedName name="absc1">#REF!</definedName>
    <definedName name="ABSCF">#REF!</definedName>
    <definedName name="ABSCI">#REF!</definedName>
    <definedName name="AC">#REF!</definedName>
    <definedName name="ACA">#REF!</definedName>
    <definedName name="ACARRH" localSheetId="0">#REF!</definedName>
    <definedName name="ACAT22" localSheetId="17">#REF!</definedName>
    <definedName name="ACAT22" localSheetId="18">#REF!</definedName>
    <definedName name="ACAT22" localSheetId="2">#REF!</definedName>
    <definedName name="ACAT22">#REF!</definedName>
    <definedName name="AccessDatabase" hidden="1">"C:\C-314\VOLUMENES\volfin4.mdb"</definedName>
    <definedName name="ace">#REF!</definedName>
    <definedName name="ACEITES">#REF!,#REF!,#REF!,#REF!,#REF!</definedName>
    <definedName name="ACER">#REF!</definedName>
    <definedName name="Acero">#REF!</definedName>
    <definedName name="ACOND" localSheetId="0">#REF!</definedName>
    <definedName name="acta">#REF!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EXTRA4">#REF!</definedName>
    <definedName name="actas">#REF!</definedName>
    <definedName name="actividad">#REF!</definedName>
    <definedName name="actividades">#REF!</definedName>
    <definedName name="acueducto" localSheetId="0">#REF!</definedName>
    <definedName name="acueducto">#REF!</definedName>
    <definedName name="ACUM">#REF!</definedName>
    <definedName name="ACUM1">(#REF!)</definedName>
    <definedName name="ACUM2">#REF!</definedName>
    <definedName name="Acumulado">#REF!</definedName>
    <definedName name="ACwvu.TAB1." localSheetId="14" hidden="1">#REF!</definedName>
    <definedName name="ACwvu.TAB1." localSheetId="17" hidden="1">#REF!</definedName>
    <definedName name="ACwvu.TAB1." localSheetId="18" hidden="1">#REF!</definedName>
    <definedName name="ACwvu.TAB1." localSheetId="9" hidden="1">#REF!</definedName>
    <definedName name="ACwvu.TAB1." localSheetId="11" hidden="1">#REF!</definedName>
    <definedName name="ACwvu.TAB1." localSheetId="13" hidden="1">#REF!</definedName>
    <definedName name="ACwvu.TAB1." localSheetId="20" hidden="1">#REF!</definedName>
    <definedName name="ACwvu.TAB1." localSheetId="22" hidden="1">#REF!</definedName>
    <definedName name="ACwvu.TAB1." localSheetId="21" hidden="1">#REF!</definedName>
    <definedName name="ACwvu.TAB1." hidden="1">#REF!</definedName>
    <definedName name="ACwvu.TAB10." localSheetId="14" hidden="1">#REF!</definedName>
    <definedName name="ACwvu.TAB10." localSheetId="17" hidden="1">#REF!</definedName>
    <definedName name="ACwvu.TAB10." localSheetId="18" hidden="1">#REF!</definedName>
    <definedName name="ACwvu.TAB10." localSheetId="9" hidden="1">#REF!</definedName>
    <definedName name="ACwvu.TAB10." localSheetId="11" hidden="1">#REF!</definedName>
    <definedName name="ACwvu.TAB10." localSheetId="13" hidden="1">#REF!</definedName>
    <definedName name="ACwvu.TAB10." localSheetId="20" hidden="1">#REF!</definedName>
    <definedName name="ACwvu.TAB10." localSheetId="22" hidden="1">#REF!</definedName>
    <definedName name="ACwvu.TAB10." localSheetId="21" hidden="1">#REF!</definedName>
    <definedName name="ACwvu.TAB10." hidden="1">#REF!</definedName>
    <definedName name="ACwvu.TAB2." localSheetId="14" hidden="1">#REF!</definedName>
    <definedName name="ACwvu.TAB2." localSheetId="17" hidden="1">#REF!</definedName>
    <definedName name="ACwvu.TAB2." localSheetId="18" hidden="1">#REF!</definedName>
    <definedName name="ACwvu.TAB2." localSheetId="9" hidden="1">#REF!</definedName>
    <definedName name="ACwvu.TAB2." localSheetId="11" hidden="1">#REF!</definedName>
    <definedName name="ACwvu.TAB2." localSheetId="13" hidden="1">#REF!</definedName>
    <definedName name="ACwvu.TAB2." localSheetId="20" hidden="1">#REF!</definedName>
    <definedName name="ACwvu.TAB2." localSheetId="22" hidden="1">#REF!</definedName>
    <definedName name="ACwvu.TAB2." localSheetId="21" hidden="1">#REF!</definedName>
    <definedName name="ACwvu.TAB2." hidden="1">#REF!</definedName>
    <definedName name="ACwvu.TAB3." localSheetId="14" hidden="1">#REF!</definedName>
    <definedName name="ACwvu.TAB3." localSheetId="17" hidden="1">#REF!</definedName>
    <definedName name="ACwvu.TAB3." localSheetId="18" hidden="1">#REF!</definedName>
    <definedName name="ACwvu.TAB3." localSheetId="9" hidden="1">#REF!</definedName>
    <definedName name="ACwvu.TAB3." localSheetId="11" hidden="1">#REF!</definedName>
    <definedName name="ACwvu.TAB3." localSheetId="13" hidden="1">#REF!</definedName>
    <definedName name="ACwvu.TAB3." localSheetId="20" hidden="1">#REF!</definedName>
    <definedName name="ACwvu.TAB3." localSheetId="22" hidden="1">#REF!</definedName>
    <definedName name="ACwvu.TAB3." localSheetId="21" hidden="1">#REF!</definedName>
    <definedName name="ACwvu.TAB3." hidden="1">#REF!</definedName>
    <definedName name="ACwvu.TAB4." localSheetId="14" hidden="1">#REF!</definedName>
    <definedName name="ACwvu.TAB4." localSheetId="17" hidden="1">#REF!</definedName>
    <definedName name="ACwvu.TAB4." localSheetId="18" hidden="1">#REF!</definedName>
    <definedName name="ACwvu.TAB4." localSheetId="9" hidden="1">#REF!</definedName>
    <definedName name="ACwvu.TAB4." localSheetId="11" hidden="1">#REF!</definedName>
    <definedName name="ACwvu.TAB4." localSheetId="13" hidden="1">#REF!</definedName>
    <definedName name="ACwvu.TAB4." localSheetId="20" hidden="1">#REF!</definedName>
    <definedName name="ACwvu.TAB4." localSheetId="22" hidden="1">#REF!</definedName>
    <definedName name="ACwvu.TAB4." localSheetId="21" hidden="1">#REF!</definedName>
    <definedName name="ACwvu.TAB4." hidden="1">#REF!</definedName>
    <definedName name="ACwvu.TAB5." localSheetId="14" hidden="1">#REF!</definedName>
    <definedName name="ACwvu.TAB5." localSheetId="17" hidden="1">#REF!</definedName>
    <definedName name="ACwvu.TAB5." localSheetId="18" hidden="1">#REF!</definedName>
    <definedName name="ACwvu.TAB5." localSheetId="9" hidden="1">#REF!</definedName>
    <definedName name="ACwvu.TAB5." localSheetId="11" hidden="1">#REF!</definedName>
    <definedName name="ACwvu.TAB5." localSheetId="13" hidden="1">#REF!</definedName>
    <definedName name="ACwvu.TAB5." localSheetId="20" hidden="1">#REF!</definedName>
    <definedName name="ACwvu.TAB5." localSheetId="22" hidden="1">#REF!</definedName>
    <definedName name="ACwvu.TAB5." localSheetId="21" hidden="1">#REF!</definedName>
    <definedName name="ACwvu.TAB5." hidden="1">#REF!</definedName>
    <definedName name="ad" localSheetId="17">#REF!</definedName>
    <definedName name="ad" localSheetId="18">#REF!</definedName>
    <definedName name="ad" localSheetId="0">#REF!</definedName>
    <definedName name="ad">#REF!</definedName>
    <definedName name="Adecueinstalacion">#REF!</definedName>
    <definedName name="ADFE" localSheetId="5">#REF!</definedName>
    <definedName name="ADFE" localSheetId="15">#REF!</definedName>
    <definedName name="ADFE" localSheetId="16">#REF!</definedName>
    <definedName name="ADFE" localSheetId="18">#REF!</definedName>
    <definedName name="ADFE" localSheetId="6">#REF!</definedName>
    <definedName name="ADFE" localSheetId="7">#REF!</definedName>
    <definedName name="ADFE" localSheetId="10">#REF!</definedName>
    <definedName name="ADFE" localSheetId="11">#REF!</definedName>
    <definedName name="ADFE" localSheetId="22">#REF!</definedName>
    <definedName name="ADFE">#REF!</definedName>
    <definedName name="ADFGSDB" hidden="1">{"via1",#N/A,TRUE,"general";"via2",#N/A,TRUE,"general";"via3",#N/A,TRUE,"general"}</definedName>
    <definedName name="Admin">#REF!</definedName>
    <definedName name="ADMINISTRA">#REF!</definedName>
    <definedName name="ADMINISTRACION">#REF!</definedName>
    <definedName name="administrador">#REF!</definedName>
    <definedName name="ADMM" localSheetId="0">#REF!</definedName>
    <definedName name="ADMM">#REF!</definedName>
    <definedName name="admon" localSheetId="17">#REF!</definedName>
    <definedName name="admon" localSheetId="18">#REF!</definedName>
    <definedName name="ADMON" localSheetId="0">#REF!</definedName>
    <definedName name="admon">#REF!</definedName>
    <definedName name="adoc1" localSheetId="5">#REF!</definedName>
    <definedName name="adoc1" localSheetId="15">#REF!</definedName>
    <definedName name="adoc1" localSheetId="16">#REF!</definedName>
    <definedName name="adoc1" localSheetId="18">#REF!</definedName>
    <definedName name="adoc1" localSheetId="6">#REF!</definedName>
    <definedName name="adoc1" localSheetId="7">#REF!</definedName>
    <definedName name="adoc1" localSheetId="10">#REF!</definedName>
    <definedName name="adoc1" localSheetId="11">#REF!</definedName>
    <definedName name="adoc1" localSheetId="22">#REF!</definedName>
    <definedName name="adoc1">#REF!</definedName>
    <definedName name="adoq" localSheetId="5">#REF!</definedName>
    <definedName name="adoq" localSheetId="15">#REF!</definedName>
    <definedName name="adoq" localSheetId="16">#REF!</definedName>
    <definedName name="adoq" localSheetId="18">#REF!</definedName>
    <definedName name="adoq" localSheetId="6">#REF!</definedName>
    <definedName name="adoq" localSheetId="7">#REF!</definedName>
    <definedName name="adoq" localSheetId="10">#REF!</definedName>
    <definedName name="adoq" localSheetId="11">#REF!</definedName>
    <definedName name="ADOQ" localSheetId="0">#REF!</definedName>
    <definedName name="adoq" localSheetId="22">#REF!</definedName>
    <definedName name="adoq">#REF!</definedName>
    <definedName name="ADSAD" hidden="1">{"TAB1",#N/A,TRUE,"GENERAL";"TAB2",#N/A,TRUE,"GENERAL";"TAB3",#N/A,TRUE,"GENERAL";"TAB4",#N/A,TRUE,"GENERAL";"TAB5",#N/A,TRUE,"GENERAL"}</definedName>
    <definedName name="AE">#REF!</definedName>
    <definedName name="aefa" hidden="1">{"via1",#N/A,TRUE,"general";"via2",#N/A,TRUE,"general";"via3",#N/A,TRUE,"general"}</definedName>
    <definedName name="AER" localSheetId="5">#REF!</definedName>
    <definedName name="AER" localSheetId="15">#REF!</definedName>
    <definedName name="AER" localSheetId="16">#REF!</definedName>
    <definedName name="AER" localSheetId="18">#REF!</definedName>
    <definedName name="AER" localSheetId="6">#REF!</definedName>
    <definedName name="AER" localSheetId="7">#REF!</definedName>
    <definedName name="AER" localSheetId="10">#REF!</definedName>
    <definedName name="AER" localSheetId="11">#REF!</definedName>
    <definedName name="AER" localSheetId="22">#REF!</definedName>
    <definedName name="AER">#REF!</definedName>
    <definedName name="afdsw" hidden="1">{"TAB1",#N/A,TRUE,"GENERAL";"TAB2",#N/A,TRUE,"GENERAL";"TAB3",#N/A,TRUE,"GENERAL";"TAB4",#N/A,TRUE,"GENERAL";"TAB5",#N/A,TRUE,"GENERAL"}</definedName>
    <definedName name="agdsgg" hidden="1">{"via1",#N/A,TRUE,"general";"via2",#N/A,TRUE,"general";"via3",#N/A,TRUE,"general"}</definedName>
    <definedName name="Agregados">#REF!</definedName>
    <definedName name="AGRICOLA">#REF!</definedName>
    <definedName name="AGUA" localSheetId="0">#REF!</definedName>
    <definedName name="AGUA">#REF!</definedName>
    <definedName name="AIRE">#REF!</definedName>
    <definedName name="AIRE_ACOND_ITEM" localSheetId="17">#REF!,#REF!</definedName>
    <definedName name="AIRE_ACOND_ITEM" localSheetId="18">#REF!,#REF!</definedName>
    <definedName name="AIRE_ACOND_ITEM">#REF!,#REF!</definedName>
    <definedName name="AIRE_ACOND_VALOR" localSheetId="17">#REF!,#REF!</definedName>
    <definedName name="AIRE_ACOND_VALOR" localSheetId="18">#REF!,#REF!</definedName>
    <definedName name="AIRE_ACOND_VALOR">#REF!,#REF!</definedName>
    <definedName name="airemec" localSheetId="17">#REF!</definedName>
    <definedName name="airemec" localSheetId="18">#REF!</definedName>
    <definedName name="airemec">#REF!</definedName>
    <definedName name="AIU" localSheetId="17">#REF!</definedName>
    <definedName name="AIU" localSheetId="18">#REF!</definedName>
    <definedName name="AIU" localSheetId="0">#REF!</definedName>
    <definedName name="AIU">#REF!</definedName>
    <definedName name="AIU.">#REF!</definedName>
    <definedName name="AIU_1">#REF!</definedName>
    <definedName name="AIU_2">#REF!</definedName>
    <definedName name="aiun">#REF!</definedName>
    <definedName name="Ajizal">#REF!</definedName>
    <definedName name="AjustDelAIU">#REF!</definedName>
    <definedName name="AJUSTE" localSheetId="17">#REF!</definedName>
    <definedName name="AJUSTE" localSheetId="18">#REF!</definedName>
    <definedName name="ajuste" localSheetId="0">#REF!</definedName>
    <definedName name="AJUSTE" localSheetId="2">#REF!</definedName>
    <definedName name="AJUSTE">#REF!</definedName>
    <definedName name="alambre">#REF!</definedName>
    <definedName name="ALANR" localSheetId="0">#REF!</definedName>
    <definedName name="ALANR">#REF!</definedName>
    <definedName name="alc" localSheetId="5">#REF!</definedName>
    <definedName name="alc" localSheetId="15">#REF!</definedName>
    <definedName name="alc" localSheetId="16">#REF!</definedName>
    <definedName name="alc" localSheetId="18">#REF!</definedName>
    <definedName name="alc" localSheetId="6">#REF!</definedName>
    <definedName name="alc" localSheetId="7">#REF!</definedName>
    <definedName name="alc" localSheetId="10">#REF!</definedName>
    <definedName name="alc" localSheetId="11">#REF!</definedName>
    <definedName name="alc" localSheetId="22">#REF!</definedName>
    <definedName name="alc">#REF!</definedName>
    <definedName name="alcantarillado" localSheetId="0">#REF!</definedName>
    <definedName name="alcantarillado">#REF!</definedName>
    <definedName name="ALPUA" localSheetId="0">#REF!</definedName>
    <definedName name="ALPUA">#REF!</definedName>
    <definedName name="alquiler">#REF!</definedName>
    <definedName name="analequipo">#REF!</definedName>
    <definedName name="ANDAM" localSheetId="0">#REF!</definedName>
    <definedName name="ANDAM">#REF!</definedName>
    <definedName name="anexo1">#REF!</definedName>
    <definedName name="anexo2">#REF!</definedName>
    <definedName name="Anexo3">#REF!</definedName>
    <definedName name="AnsermaCartago">#REF!</definedName>
    <definedName name="AntCach">#REF!</definedName>
    <definedName name="Antic">#REF!</definedName>
    <definedName name="AnticAdic">#REF!</definedName>
    <definedName name="ANTICIPO">#REF!</definedName>
    <definedName name="ANTRA" localSheetId="0">#REF!</definedName>
    <definedName name="AÑO">#REF!</definedName>
    <definedName name="Apar.Sanitarios">#REF!</definedName>
    <definedName name="APARAT_SAN_INCRUST_ITEM" localSheetId="17">#REF!</definedName>
    <definedName name="APARAT_SAN_INCRUST_ITEM" localSheetId="18">#REF!</definedName>
    <definedName name="APARAT_SAN_INCRUST_ITEM">#REF!</definedName>
    <definedName name="APARAT_SANIT_ITEM" localSheetId="17">#REF!,#REF!,#REF!,#REF!</definedName>
    <definedName name="APARAT_SANIT_ITEM" localSheetId="18">#REF!,#REF!,#REF!,#REF!</definedName>
    <definedName name="APARAT_SANIT_ITEM">#REF!,#REF!,#REF!,#REF!</definedName>
    <definedName name="APARAT_SANIT_VALOR">#REF!,#REF!,#REF!,#REF!</definedName>
    <definedName name="APARATOSSAN" localSheetId="17">#REF!,#REF!,#REF!,#REF!</definedName>
    <definedName name="APARATOSSAN" localSheetId="18">#REF!,#REF!,#REF!,#REF!</definedName>
    <definedName name="APARATOSSAN">#REF!,#REF!,#REF!,#REF!</definedName>
    <definedName name="Apu">#REF!</definedName>
    <definedName name="APUFEB">#REF!</definedName>
    <definedName name="aq" localSheetId="5">#REF!</definedName>
    <definedName name="aq" localSheetId="15">#REF!</definedName>
    <definedName name="aq" localSheetId="16">#REF!</definedName>
    <definedName name="aq" localSheetId="18">#REF!</definedName>
    <definedName name="aq" localSheetId="6">#REF!</definedName>
    <definedName name="aq" localSheetId="7">#REF!</definedName>
    <definedName name="aq" localSheetId="10">#REF!</definedName>
    <definedName name="aq" localSheetId="11">#REF!</definedName>
    <definedName name="aq" localSheetId="22">#REF!</definedName>
    <definedName name="aq">#REF!</definedName>
    <definedName name="aqaq" hidden="1">{"TAB1",#N/A,TRUE,"GENERAL";"TAB2",#N/A,TRUE,"GENERAL";"TAB3",#N/A,TRUE,"GENERAL";"TAB4",#N/A,TRUE,"GENERAL";"TAB5",#N/A,TRUE,"GENERAL"}</definedName>
    <definedName name="AR">#REF!</definedName>
    <definedName name="arbol">#REF!</definedName>
    <definedName name="are">#REF!</definedName>
    <definedName name="AREA">#REF!</definedName>
    <definedName name="ÁREA" localSheetId="17">#REF!</definedName>
    <definedName name="ÁREA" localSheetId="18">#REF!</definedName>
    <definedName name="ÁREA" localSheetId="2">#REF!</definedName>
    <definedName name="ÁREA">#REF!</definedName>
    <definedName name="Area_Construida" localSheetId="17">#REF!</definedName>
    <definedName name="Area_Construida" localSheetId="18">#REF!</definedName>
    <definedName name="Area_Construida" localSheetId="2">#REF!</definedName>
    <definedName name="Area_Construida">#REF!</definedName>
    <definedName name="_xlnm.Extract">#REF!</definedName>
    <definedName name="_xlnm.Print_Area" localSheetId="5">'1. APU PRELIMINARES'!$A$1:$H$182</definedName>
    <definedName name="_xlnm.Print_Area" localSheetId="14">'10. APU PINTURA'!$A$1:$H$193</definedName>
    <definedName name="_xlnm.Print_Area" localSheetId="17">'13. APU AMOBLAMIENTO'!$A$1:$H$289</definedName>
    <definedName name="_xlnm.Print_Area" localSheetId="7">'3. APU CONCRETOS'!$A$1:$H$472</definedName>
    <definedName name="_xlnm.Print_Area" localSheetId="8">'4. APU ACEROS'!$A$1:$H$185</definedName>
    <definedName name="_xlnm.Print_Area" localSheetId="9">'5. APU MAMPOSTERIA'!$A$1:$H$94</definedName>
    <definedName name="_xlnm.Print_Area" localSheetId="10">'6. APU ELECTRICOS'!$A$1:$H$1994</definedName>
    <definedName name="_xlnm.Print_Area" localSheetId="11">'7. APU HIDROSANITARIO'!$A$1:$H$898</definedName>
    <definedName name="_xlnm.Print_Area" localSheetId="12">'8. APU CUBIERTAS'!$A$1:$H$288</definedName>
    <definedName name="_xlnm.Print_Area" localSheetId="13">'9. APU PISOS'!$A$1:$H$575</definedName>
    <definedName name="_xlnm.Print_Area" localSheetId="0">'CALCULO AU'!$A$1:$H$42</definedName>
    <definedName name="_xlnm.Print_Area" localSheetId="1">INTERVENTORÍA!$A$1:$H$48</definedName>
    <definedName name="_xlnm.Print_Area" localSheetId="4">'MEMORIAS CANT'!$A$1:$G$56,'MEMORIAS CANT'!$I$1:$O$48,'MEMORIAS CANT'!$Q$1:$T$19,'MEMORIAS CANT'!$V$1:$Y$28,'MEMORIAS CANT'!$AA$1:$AD$28</definedName>
    <definedName name="_xlnm.Print_Area" localSheetId="2">PRESUPUESTO!$A$1:$H$252</definedName>
    <definedName name="_xlnm.Print_Area">#N/A</definedName>
    <definedName name="Area_GLA" localSheetId="17">#REF!</definedName>
    <definedName name="Area_GLA" localSheetId="18">#REF!</definedName>
    <definedName name="Area_GLA" localSheetId="2">#REF!</definedName>
    <definedName name="Area_GLA">#REF!</definedName>
    <definedName name="Area_GLA_Desocupado" localSheetId="17">#REF!</definedName>
    <definedName name="Area_GLA_Desocupado" localSheetId="18">#REF!</definedName>
    <definedName name="Area_GLA_Desocupado" localSheetId="2">#REF!</definedName>
    <definedName name="Area_GLA_Desocupado">#REF!</definedName>
    <definedName name="areaprotegida">#REF!</definedName>
    <definedName name="ARELC" localSheetId="0">#REF!</definedName>
    <definedName name="ARELF" localSheetId="0">#REF!</definedName>
    <definedName name="ARENA" localSheetId="0">#REF!</definedName>
    <definedName name="ARENA">#REF!</definedName>
    <definedName name="ARENC" localSheetId="0">#REF!</definedName>
    <definedName name="ARENC">#REF!</definedName>
    <definedName name="ARENI" localSheetId="0">#REF!</definedName>
    <definedName name="ARENP" localSheetId="0">#REF!</definedName>
    <definedName name="ARENP">#REF!</definedName>
    <definedName name="ARENR">#REF!</definedName>
    <definedName name="ARNOLDO" localSheetId="14" hidden="1">#REF!</definedName>
    <definedName name="ARNOLDO" localSheetId="17" hidden="1">#REF!</definedName>
    <definedName name="ARNOLDO" localSheetId="18" hidden="1">#REF!</definedName>
    <definedName name="ARNOLDO" localSheetId="9" hidden="1">#REF!</definedName>
    <definedName name="ARNOLDO" localSheetId="11" hidden="1">#REF!</definedName>
    <definedName name="ARNOLDO" localSheetId="13" hidden="1">#REF!</definedName>
    <definedName name="ARNOLDO" localSheetId="20" hidden="1">#REF!</definedName>
    <definedName name="ARNOLDO" localSheetId="22" hidden="1">#REF!</definedName>
    <definedName name="ARNOLDO" localSheetId="21" hidden="1">#REF!</definedName>
    <definedName name="ARNOLDO" hidden="1">#REF!</definedName>
    <definedName name="Arrendamientos">#REF!</definedName>
    <definedName name="ARTE">#REF!</definedName>
    <definedName name="as" localSheetId="17">#REF!</definedName>
    <definedName name="as" localSheetId="18">#REF!</definedName>
    <definedName name="as">#REF!</definedName>
    <definedName name="asa">#REF!</definedName>
    <definedName name="asas">#REF!</definedName>
    <definedName name="asasasa">#REF!</definedName>
    <definedName name="asasasas">#REF!</definedName>
    <definedName name="asasasasa">#REF!</definedName>
    <definedName name="asasasasas">#REF!</definedName>
    <definedName name="ASB" localSheetId="0">#REF!</definedName>
    <definedName name="ASB">#REF!</definedName>
    <definedName name="ASCENSORES_ITEM" localSheetId="17">#REF!</definedName>
    <definedName name="ASCENSORES_ITEM" localSheetId="18">#REF!</definedName>
    <definedName name="ASCENSORES_ITEM">#REF!</definedName>
    <definedName name="ASD" hidden="1">{"via1",#N/A,TRUE,"general";"via2",#N/A,TRUE,"general";"via3",#N/A,TRUE,"general"}</definedName>
    <definedName name="ASDA" hidden="1">{"via1",#N/A,TRUE,"general";"via2",#N/A,TRUE,"general";"via3",#N/A,TRUE,"general"}</definedName>
    <definedName name="ASDAS">#REF!</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eguracalidad">#REF!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pecto" localSheetId="0">#REF!</definedName>
    <definedName name="aspecto">#REF!</definedName>
    <definedName name="ATB">#REF!</definedName>
    <definedName name="AUX_TRANSP">#REF!</definedName>
    <definedName name="aVANCE___0">#N/A</definedName>
    <definedName name="axt" localSheetId="17">#REF!</definedName>
    <definedName name="axt" localSheetId="18">#REF!</definedName>
    <definedName name="axt" localSheetId="2">#REF!</definedName>
    <definedName name="axt">#REF!</definedName>
    <definedName name="ay">#REF!</definedName>
    <definedName name="ayu" localSheetId="17">#REF!</definedName>
    <definedName name="ayu" localSheetId="18">#REF!</definedName>
    <definedName name="ayu" localSheetId="0">#REF!</definedName>
    <definedName name="ayu" localSheetId="2">#REF!</definedName>
    <definedName name="ayu">#REF!</definedName>
    <definedName name="AYUDA" localSheetId="0">#REF!</definedName>
    <definedName name="AYUDA">#REF!</definedName>
    <definedName name="AYUDA_">#REF!</definedName>
    <definedName name="AYUDR" localSheetId="0">#REF!</definedName>
    <definedName name="AYUDR">#REF!</definedName>
    <definedName name="azaz" hidden="1">{"TAB1",#N/A,TRUE,"GENERAL";"TAB2",#N/A,TRUE,"GENERAL";"TAB3",#N/A,TRUE,"GENERAL";"TAB4",#N/A,TRUE,"GENERAL";"TAB5",#N/A,TRUE,"GENERAL"}</definedName>
    <definedName name="b" localSheetId="17">#REF!</definedName>
    <definedName name="b" localSheetId="18">#REF!</definedName>
    <definedName name="b" localSheetId="0">#REF!</definedName>
    <definedName name="b" localSheetId="2">#REF!</definedName>
    <definedName name="b">#REF!</definedName>
    <definedName name="B.T1">#REF!</definedName>
    <definedName name="B_T1">#REF!</definedName>
    <definedName name="BAJANTE" localSheetId="17">#REF!</definedName>
    <definedName name="BAJANTE" localSheetId="18">#REF!</definedName>
    <definedName name="BAJANTE" localSheetId="2">#REF!</definedName>
    <definedName name="BAJANTE">#REF!</definedName>
    <definedName name="band">#REF!</definedName>
    <definedName name="baranda">#REF!</definedName>
    <definedName name="Base" localSheetId="17">#REF!</definedName>
    <definedName name="Base" localSheetId="18">#REF!</definedName>
    <definedName name="BASE" localSheetId="0">#REF!</definedName>
    <definedName name="Base">#REF!</definedName>
    <definedName name="base_datos_t45">#REF!</definedName>
    <definedName name="BaseDatos_Ore1">#REF!</definedName>
    <definedName name="BaseDatos_T831">#REF!</definedName>
    <definedName name="_xlnm.Database" localSheetId="17">#REF!</definedName>
    <definedName name="_xlnm.Database" localSheetId="18">#REF!</definedName>
    <definedName name="_xlnm.Database" localSheetId="0">#REF!</definedName>
    <definedName name="_xlnm.Database">#REF!</definedName>
    <definedName name="BASEG" localSheetId="0">#REF!</definedName>
    <definedName name="BASEI">#REF!</definedName>
    <definedName name="BASEP">#REF!</definedName>
    <definedName name="BASEQUI">#REF!</definedName>
    <definedName name="BASMANO">#REF!</definedName>
    <definedName name="BASMATE">#REF!</definedName>
    <definedName name="bbbb" localSheetId="17">#REF!</definedName>
    <definedName name="bbbb" localSheetId="18">#REF!</definedName>
    <definedName name="bbbb" localSheetId="2">#REF!</definedName>
    <definedName name="bb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 localSheetId="17">#REF!</definedName>
    <definedName name="BEB" localSheetId="18">#REF!</definedName>
    <definedName name="BEB" localSheetId="0">#REF!</definedName>
    <definedName name="BEB">#REF!</definedName>
    <definedName name="Beg_Bal">#REF!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mestre">#REF!</definedName>
    <definedName name="BISCO">#REF!</definedName>
    <definedName name="BLOCT">#REF!</definedName>
    <definedName name="BLOQ">#REF!</definedName>
    <definedName name="BLOQC">#REF!</definedName>
    <definedName name="BOMBA" localSheetId="0">#REF!</definedName>
    <definedName name="BOMBA">#REF!</definedName>
    <definedName name="BOTAD" localSheetId="0">#REF!</definedName>
    <definedName name="BOTES" localSheetId="0">#REF!</definedName>
    <definedName name="br" hidden="1">{"TAB1",#N/A,TRUE,"GENERAL";"TAB2",#N/A,TRUE,"GENERAL";"TAB3",#N/A,TRUE,"GENERAL";"TAB4",#N/A,TRUE,"GENERAL";"TAB5",#N/A,TRUE,"GENERAL"}</definedName>
    <definedName name="BRIQ">#REF!</definedName>
    <definedName name="BROCH" localSheetId="0">#REF!</definedName>
    <definedName name="BROCH">#REF!</definedName>
    <definedName name="bsb" hidden="1">{"via1",#N/A,TRUE,"general";"via2",#N/A,TRUE,"general";"via3",#N/A,TRUE,"general"}</definedName>
    <definedName name="BSOL64">#REF!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iltIn_Consolidate_Area">NA()</definedName>
    <definedName name="BuiltIn_Print_Area" localSheetId="17">#REF!</definedName>
    <definedName name="BuiltIn_Print_Area" localSheetId="18">#REF!</definedName>
    <definedName name="BuiltIn_Print_Area" localSheetId="0">#REF!</definedName>
    <definedName name="BuiltIn_Print_Area">#REF!</definedName>
    <definedName name="BuiltIn_Print_Area___0" localSheetId="17">#REF!</definedName>
    <definedName name="BuiltIn_Print_Area___0" localSheetId="18">#REF!</definedName>
    <definedName name="BuiltIn_Print_Area___0" localSheetId="0">#REF!</definedName>
    <definedName name="BuiltIn_Print_Area___0">#REF!</definedName>
    <definedName name="BuiltIn_Print_Area___0___0" localSheetId="17">#REF!</definedName>
    <definedName name="BuiltIn_Print_Area___0___0" localSheetId="18">#REF!</definedName>
    <definedName name="BuiltIn_Print_Area___0___0" localSheetId="0">#REF!</definedName>
    <definedName name="BuiltIn_Print_Area___0___0">#REF!</definedName>
    <definedName name="BuiltIn_Print_Area___0___0___0" localSheetId="17">#REF!</definedName>
    <definedName name="BuiltIn_Print_Area___0___0___0" localSheetId="18">#REF!</definedName>
    <definedName name="BuiltIn_Print_Area___0___0___0" localSheetId="0">#REF!</definedName>
    <definedName name="BuiltIn_Print_Area___0___0___0">#REF!</definedName>
    <definedName name="BuiltIn_Print_Titles" localSheetId="17">#REF!</definedName>
    <definedName name="BuiltIn_Print_Titles" localSheetId="18">#REF!</definedName>
    <definedName name="BuiltIn_Print_Titles" localSheetId="0">#REF!</definedName>
    <definedName name="BuiltIn_Print_Titles">#REF!</definedName>
    <definedName name="buld">#REF!</definedName>
    <definedName name="Busca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grupo1">#REF!</definedName>
    <definedName name="C_LOM">#REF!</definedName>
    <definedName name="C_min">#REF!</definedName>
    <definedName name="ca" localSheetId="17">#REF!</definedName>
    <definedName name="ca" localSheetId="18">#REF!</definedName>
    <definedName name="ca">#REF!</definedName>
    <definedName name="CAB">#REF!</definedName>
    <definedName name="CABAL" localSheetId="0">#REF!</definedName>
    <definedName name="CABAL">#REF!</definedName>
    <definedName name="CABLEADO_ESTRUCTURADO_DE_VOZ_Y_DATOS" localSheetId="17">#REF!</definedName>
    <definedName name="CABLEADO_ESTRUCTURADO_DE_VOZ_Y_DATOS" localSheetId="18">#REF!</definedName>
    <definedName name="CABLEADO_ESTRUCTURADO_DE_VOZ_Y_DATOS" localSheetId="2">#REF!</definedName>
    <definedName name="CABLEADO_ESTRUCTURADO_DE_VOZ_Y_DATOS">#REF!</definedName>
    <definedName name="CABLEADO_TELEFÓNICO_CONVENCIONAL" localSheetId="17">#REF!</definedName>
    <definedName name="CABLEADO_TELEFÓNICO_CONVENCIONAL" localSheetId="18">#REF!</definedName>
    <definedName name="CABLEADO_TELEFÓNICO_CONVENCIONAL" localSheetId="2">#REF!</definedName>
    <definedName name="CABLEADO_TELEFÓNICO_CONVENCIONAL">#REF!</definedName>
    <definedName name="CADENA">#REF!</definedName>
    <definedName name="cae" localSheetId="17">#REF!</definedName>
    <definedName name="cae" localSheetId="18">#REF!</definedName>
    <definedName name="cae">#REF!</definedName>
    <definedName name="caechavarria" localSheetId="17">#REF!</definedName>
    <definedName name="caechavarria" localSheetId="18">#REF!</definedName>
    <definedName name="caechavarria">#REF!</definedName>
    <definedName name="Caja">#REF!</definedName>
    <definedName name="CAJAC">#REF!</definedName>
    <definedName name="CAJAV">#REF!</definedName>
    <definedName name="CALEND">#REF!</definedName>
    <definedName name="CALENDARIO">#REF!</definedName>
    <definedName name="CALENDARIO1">#REF!</definedName>
    <definedName name="calidad">#REF!</definedName>
    <definedName name="CAM_CAIDA">#REF!</definedName>
    <definedName name="cambio" localSheetId="17">#REF!</definedName>
    <definedName name="cambio" localSheetId="18">#REF!</definedName>
    <definedName name="cambio" localSheetId="2">#REF!</definedName>
    <definedName name="cambio">#REF!</definedName>
    <definedName name="CANAL" localSheetId="0">#REF!</definedName>
    <definedName name="CANAL">#REF!</definedName>
    <definedName name="CANAL6">#REF!</definedName>
    <definedName name="cang">#REF!</definedName>
    <definedName name="CANGU" localSheetId="0">#REF!</definedName>
    <definedName name="CANT">#REF!</definedName>
    <definedName name="Cant.20deJulio">#REF!</definedName>
    <definedName name="Cant.Casaloma">#REF!</definedName>
    <definedName name="Cant.Huertas">#REF!</definedName>
    <definedName name="Cant.LosPinos">#REF!</definedName>
    <definedName name="Cant.LosPinos4.7">#REF!</definedName>
    <definedName name="Cant.MiradorPrim">#REF!</definedName>
    <definedName name="Cant.Paraiso">#REF!</definedName>
    <definedName name="Cant.PorvenirEstancia">#REF!</definedName>
    <definedName name="Cant.RinconPorvenir">#REF!</definedName>
    <definedName name="Cant.SanIsidro">#REF!</definedName>
    <definedName name="Cant.SantaInes">#REF!</definedName>
    <definedName name="Cant.SanVicente">#REF!</definedName>
    <definedName name="Cant.Uval">#REF!</definedName>
    <definedName name="Cantidad">#REF!</definedName>
    <definedName name="CAÑL">#REF!</definedName>
    <definedName name="CAP" localSheetId="17">#REF!</definedName>
    <definedName name="CAP" localSheetId="18">#REF!</definedName>
    <definedName name="CAP" localSheetId="0">#REF!</definedName>
    <definedName name="CAP">#REF!</definedName>
    <definedName name="CAPIT">#REF!</definedName>
    <definedName name="CAPITULO">#REF!</definedName>
    <definedName name="capt">#REF!</definedName>
    <definedName name="carg">#REF!</definedName>
    <definedName name="CARGADOR" localSheetId="0">#REF!</definedName>
    <definedName name="CARGADOR">#REF!</definedName>
    <definedName name="CARGUER" localSheetId="0">#REF!</definedName>
    <definedName name="CARGUER">#REF!</definedName>
    <definedName name="caro">#N/A</definedName>
    <definedName name="caro2">#N/A</definedName>
    <definedName name="Carp.Aluminio">#REF!</definedName>
    <definedName name="Carp.Metalica">#REF!</definedName>
    <definedName name="CARRTA" localSheetId="0">#REF!</definedName>
    <definedName name="CARTAN">#REF!</definedName>
    <definedName name="Casa">#REF!</definedName>
    <definedName name="CASQ">#REF!</definedName>
    <definedName name="CATOR">#REF!</definedName>
    <definedName name="causa" localSheetId="17">#REF!</definedName>
    <definedName name="causa" localSheetId="18">#REF!</definedName>
    <definedName name="causa" localSheetId="2">#REF!</definedName>
    <definedName name="causa">#REF!</definedName>
    <definedName name="CAVA" localSheetId="17">#REF!</definedName>
    <definedName name="CAVA" localSheetId="18">#REF!</definedName>
    <definedName name="CAVA" localSheetId="2">#REF!</definedName>
    <definedName name="CAVA">#REF!</definedName>
    <definedName name="CAVA1" localSheetId="17">#REF!</definedName>
    <definedName name="CAVA1" localSheetId="18">#REF!</definedName>
    <definedName name="CAVA1" localSheetId="2">#REF!</definedName>
    <definedName name="CAVA1">#REF!</definedName>
    <definedName name="ccccc" hidden="1">{"TAB1",#N/A,TRUE,"GENERAL";"TAB2",#N/A,TRUE,"GENERAL";"TAB3",#N/A,TRUE,"GENERAL";"TAB4",#N/A,TRUE,"GENERAL";"TAB5",#N/A,TRUE,"GENERAL"}</definedName>
    <definedName name="cd" localSheetId="0">#REF!</definedName>
    <definedName name="cd">#REF!</definedName>
    <definedName name="cd___0">#N/A</definedName>
    <definedName name="cdcdc" hidden="1">{"via1",#N/A,TRUE,"general";"via2",#N/A,TRUE,"general";"via3",#N/A,TRUE,"general"}</definedName>
    <definedName name="CDctrl">#REF!</definedName>
    <definedName name="CDO">#REF!</definedName>
    <definedName name="ceerf" hidden="1">{"TAB1",#N/A,TRUE,"GENERAL";"TAB2",#N/A,TRUE,"GENERAL";"TAB3",#N/A,TRUE,"GENERAL";"TAB4",#N/A,TRUE,"GENERAL";"TAB5",#N/A,TRUE,"GENERAL"}</definedName>
    <definedName name="cem">#REF!</definedName>
    <definedName name="CEMEG" localSheetId="0">#REF!</definedName>
    <definedName name="CEMEG">#REF!</definedName>
    <definedName name="Cerrajeria">#REF!</definedName>
    <definedName name="cerramientoprovisional" localSheetId="17">#REF!</definedName>
    <definedName name="cerramientoprovisional" localSheetId="18">#REF!</definedName>
    <definedName name="cerramientoprovisional">#REF!</definedName>
    <definedName name="cesped">#REF!</definedName>
    <definedName name="CHAPA" localSheetId="0">#REF!</definedName>
    <definedName name="CHAPA">#REF!</definedName>
    <definedName name="ChequeoCantidades">#REF!</definedName>
    <definedName name="ci">#REF!</definedName>
    <definedName name="CIDCA1">#REF!</definedName>
    <definedName name="CIDCA2">#REF!</definedName>
    <definedName name="cil" localSheetId="17">#REF!</definedName>
    <definedName name="cil" localSheetId="18">#REF!</definedName>
    <definedName name="cil">#REF!</definedName>
    <definedName name="CILIND">#REF!</definedName>
    <definedName name="CIM">#REF!</definedName>
    <definedName name="CIRCUITOS">#REF!</definedName>
    <definedName name="Ciudades">#REF!</definedName>
    <definedName name="CL">#REF!</definedName>
    <definedName name="clase" localSheetId="17">#REF!</definedName>
    <definedName name="clase" localSheetId="18">#REF!</definedName>
    <definedName name="clase" localSheetId="2">#REF!</definedName>
    <definedName name="clase">#REF!</definedName>
    <definedName name="clav">#REF!</definedName>
    <definedName name="CLAVO" localSheetId="0">#REF!</definedName>
    <definedName name="CLAVO">#REF!</definedName>
    <definedName name="clcl" localSheetId="17">#REF!</definedName>
    <definedName name="clcl" localSheetId="18">#REF!</definedName>
    <definedName name="clcl" localSheetId="0">#REF!</definedName>
    <definedName name="clcl">#REF!</definedName>
    <definedName name="CMMO" localSheetId="0">#REF!</definedName>
    <definedName name="CMMO">#REF!</definedName>
    <definedName name="CMMOA" localSheetId="0">#REF!</definedName>
    <definedName name="CMMOA">#REF!</definedName>
    <definedName name="CO22JH">#REF!</definedName>
    <definedName name="CO458JH">#REF!</definedName>
    <definedName name="CO902JH">#REF!</definedName>
    <definedName name="CO903JH">#REF!</definedName>
    <definedName name="CO904JH">#REF!</definedName>
    <definedName name="CO906JH" localSheetId="0">#REF!</definedName>
    <definedName name="CO906JH">#REF!</definedName>
    <definedName name="CO908JH">#REF!</definedName>
    <definedName name="CO90P4">#REF!</definedName>
    <definedName name="CobroSuspencion">"Elipse 8"</definedName>
    <definedName name="cocinando" localSheetId="17">#REF!</definedName>
    <definedName name="cocinando" localSheetId="18">#REF!</definedName>
    <definedName name="cocinando" localSheetId="2">#REF!</definedName>
    <definedName name="cocinando">#REF!</definedName>
    <definedName name="Cod" localSheetId="17">#REF!</definedName>
    <definedName name="Cod" localSheetId="18">#REF!</definedName>
    <definedName name="Cod" localSheetId="0">#REF!</definedName>
    <definedName name="Cod">#REF!</definedName>
    <definedName name="cod_programa">#REF!</definedName>
    <definedName name="cod_proyecto">#REF!</definedName>
    <definedName name="COD906JH">#REF!</definedName>
    <definedName name="codigos" localSheetId="17">#REF!</definedName>
    <definedName name="codigos" localSheetId="18">#REF!</definedName>
    <definedName name="codigos" localSheetId="2">#REF!</definedName>
    <definedName name="codigos">#REF!</definedName>
    <definedName name="CODOS" localSheetId="17">#REF!</definedName>
    <definedName name="CODOS" localSheetId="18">#REF!</definedName>
    <definedName name="CODOS" localSheetId="0">#REF!</definedName>
    <definedName name="CODOS">#REF!</definedName>
    <definedName name="codos2" localSheetId="17">#REF!</definedName>
    <definedName name="codos2" localSheetId="18">#REF!</definedName>
    <definedName name="codos2" localSheetId="0">#REF!</definedName>
    <definedName name="codos2">#REF!</definedName>
    <definedName name="col" localSheetId="17">#REF!</definedName>
    <definedName name="col" localSheetId="18">#REF!</definedName>
    <definedName name="col">#REF!</definedName>
    <definedName name="COLLDER">#REF!</definedName>
    <definedName name="ColTap" localSheetId="0">#REF!</definedName>
    <definedName name="ColTap">#REF!</definedName>
    <definedName name="COM.LIM">#REF!</definedName>
    <definedName name="Combustible">#REF!</definedName>
    <definedName name="COMP">#REF!</definedName>
    <definedName name="compneu">#REF!</definedName>
    <definedName name="COMPR" localSheetId="0">#REF!</definedName>
    <definedName name="COMPR">#REF!</definedName>
    <definedName name="COMPRESOR" localSheetId="0">#REF!</definedName>
    <definedName name="COMPRESOR">#REF!</definedName>
    <definedName name="COMROD">#REF!</definedName>
    <definedName name="CON.FUN">#REF!</definedName>
    <definedName name="CON.LIM">#REF!</definedName>
    <definedName name="CON.POZ">#REF!</definedName>
    <definedName name="CON.TUB">#REF!</definedName>
    <definedName name="conc" localSheetId="0">#REF!</definedName>
    <definedName name="CONC">#REF!</definedName>
    <definedName name="CONCRETO">#REF!</definedName>
    <definedName name="CONCRETO_F.C_4">#REF!</definedName>
    <definedName name="concreto_FC_2.2">#REF!</definedName>
    <definedName name="Concretos">#REF!</definedName>
    <definedName name="CONM1" localSheetId="0">#REF!</definedName>
    <definedName name="CONM1">#REF!</definedName>
    <definedName name="CONM2" localSheetId="0">#REF!</definedName>
    <definedName name="CONM2">#REF!</definedName>
    <definedName name="CONMX" localSheetId="0">#REF!</definedName>
    <definedName name="CONMX">#REF!</definedName>
    <definedName name="constante">#REF!</definedName>
    <definedName name="Consultor">#REF!</definedName>
    <definedName name="CONSUMO">#REF!</definedName>
    <definedName name="Contratante">#REF!</definedName>
    <definedName name="Contrato" localSheetId="17">#REF!</definedName>
    <definedName name="Contrato" localSheetId="18">#REF!</definedName>
    <definedName name="Contrato" localSheetId="0">#REF!</definedName>
    <definedName name="Contrato" localSheetId="2">#REF!</definedName>
    <definedName name="Contrato">#REF!</definedName>
    <definedName name="copia1" localSheetId="17">#REF!</definedName>
    <definedName name="copia1" localSheetId="18">#REF!</definedName>
    <definedName name="copia1" localSheetId="0">#REF!</definedName>
    <definedName name="copia1">#REF!</definedName>
    <definedName name="copiar">#REF!</definedName>
    <definedName name="Corriente">#REF!</definedName>
    <definedName name="CORTA" localSheetId="0">#REF!</definedName>
    <definedName name="CORTACT" localSheetId="0">#REF!</definedName>
    <definedName name="CORTACT">#REF!</definedName>
    <definedName name="CORTACTO">#REF!</definedName>
    <definedName name="CORTADIS">#REF!</definedName>
    <definedName name="CORTE1">#REF!</definedName>
    <definedName name="CORTP">#REF!</definedName>
    <definedName name="COSTO">#REF!</definedName>
    <definedName name="COSTO1">#REF!</definedName>
    <definedName name="CostoAnsermaCartago">#REF!</definedName>
    <definedName name="COSTODIRECTO">#REF!</definedName>
    <definedName name="CostoMediacanoaAnserma">#REF!</definedName>
    <definedName name="COSTOS">#REF!</definedName>
    <definedName name="COSTOS_DIRECTOS">#REF!</definedName>
    <definedName name="cota">#REF!</definedName>
    <definedName name="COTAS" localSheetId="0">#REF!</definedName>
    <definedName name="cotas">#REF!</definedName>
    <definedName name="cotasalfs">#REF!</definedName>
    <definedName name="CP452L" localSheetId="0">#REF!</definedName>
    <definedName name="CP452L">#REF!</definedName>
    <definedName name="CP453L" localSheetId="0">#REF!</definedName>
    <definedName name="CP453L">#REF!</definedName>
    <definedName name="CP454L" localSheetId="0">#REF!</definedName>
    <definedName name="CP454L">#REF!</definedName>
    <definedName name="CP902L" localSheetId="0">#REF!</definedName>
    <definedName name="CP902L">#REF!</definedName>
    <definedName name="CP903L" localSheetId="0">#REF!</definedName>
    <definedName name="CP903L">#REF!</definedName>
    <definedName name="CP904L" localSheetId="0">#REF!</definedName>
    <definedName name="CP904L">#REF!</definedName>
    <definedName name="CR22JH" localSheetId="0">#REF!</definedName>
    <definedName name="CR22JH">#REF!</definedName>
    <definedName name="CR44JH">#REF!</definedName>
    <definedName name="CR66JH">#REF!</definedName>
    <definedName name="credito_completa">#REF!</definedName>
    <definedName name="_xlnm.Criteria">#REF!</definedName>
    <definedName name="CSIKA" localSheetId="0">#REF!</definedName>
    <definedName name="CSIKA">#REF!</definedName>
    <definedName name="ct">#REF!</definedName>
    <definedName name="CT070KG">#REF!</definedName>
    <definedName name="CT080KG">#REF!</definedName>
    <definedName name="CT110KG">#REF!</definedName>
    <definedName name="CT140KG" localSheetId="0">#REF!</definedName>
    <definedName name="CT140KG">#REF!</definedName>
    <definedName name="CT170KG" localSheetId="0">#REF!</definedName>
    <definedName name="CT170KG">#REF!</definedName>
    <definedName name="CT180KG" localSheetId="0">#REF!</definedName>
    <definedName name="CT180KG">#REF!</definedName>
    <definedName name="CT210KG" localSheetId="0">#REF!</definedName>
    <definedName name="CT210KG">#REF!</definedName>
    <definedName name="CT245K" localSheetId="0">#REF!</definedName>
    <definedName name="CT245KG" localSheetId="0">#REF!</definedName>
    <definedName name="CT280KG" localSheetId="0">#REF!</definedName>
    <definedName name="CT280KG">#REF!</definedName>
    <definedName name="CTC140KG">#REF!</definedName>
    <definedName name="cuad">#REF!</definedName>
    <definedName name="cuadpav">#REF!</definedName>
    <definedName name="Cuadrillas">#REF!</definedName>
    <definedName name="CUAL" localSheetId="5">#REF!</definedName>
    <definedName name="CUAL" localSheetId="15">#REF!</definedName>
    <definedName name="CUAL" localSheetId="16">#REF!</definedName>
    <definedName name="CUAL" localSheetId="18">#REF!</definedName>
    <definedName name="CUAL" localSheetId="6">#REF!</definedName>
    <definedName name="CUAL" localSheetId="7">#REF!</definedName>
    <definedName name="CUAL" localSheetId="10">#REF!</definedName>
    <definedName name="CUAL" localSheetId="11">#REF!</definedName>
    <definedName name="CUAL" localSheetId="22">#REF!</definedName>
    <definedName name="CUAL">#REF!</definedName>
    <definedName name="Cubierta">#REF!</definedName>
    <definedName name="CUE">#REF!</definedName>
    <definedName name="CUEMHA">#REF!</definedName>
    <definedName name="CUER">#REF!</definedName>
    <definedName name="CUERDA">#REF!</definedName>
    <definedName name="CUNET" hidden="1">{"via1",#N/A,TRUE,"general";"via2",#N/A,TRUE,"general";"via3",#N/A,TRUE,"general"}</definedName>
    <definedName name="cv" localSheetId="17">#REF!</definedName>
    <definedName name="cv" localSheetId="18">#REF!</definedName>
    <definedName name="cv" localSheetId="0" hidden="1">{"TAB1",#N/A,TRUE,"GENERAL";"TAB2",#N/A,TRUE,"GENERAL";"TAB3",#N/A,TRUE,"GENERAL";"TAB4",#N/A,TRUE,"GENERAL";"TAB5",#N/A,TRUE,"GENERAL"}</definedName>
    <definedName name="cv" localSheetId="2">#REF!</definedName>
    <definedName name="cv">#REF!</definedName>
    <definedName name="CVa" localSheetId="0">#REF!</definedName>
    <definedName name="CVa">#REF!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vu.ComparEneMar9697." hidden="1">#REF!,#REF!,#REF!,#REF!,#REF!,#REF!</definedName>
    <definedName name="Cwvu.EneFeb." hidden="1">#REF!,#REF!</definedName>
    <definedName name="Cwvu.EneMar." hidden="1">#REF!,#REF!,#REF!,#REF!</definedName>
    <definedName name="Cwvu.Formato._.Corto." hidden="1">#REF!,#REF!,#REF!,#REF!,#REF!,#REF!,#REF!,#REF!,#REF!,#REF!,#REF!,#REF!</definedName>
    <definedName name="Cwvu.Formato._.Total." hidden="1">#REF!,#REF!,#REF!</definedName>
    <definedName name="cy">#REF!</definedName>
    <definedName name="CYLL2" localSheetId="0">#REF!</definedName>
    <definedName name="CYLL2">#REF!</definedName>
    <definedName name="CYLL6">#REF!</definedName>
    <definedName name="D" localSheetId="17">#REF!</definedName>
    <definedName name="D" localSheetId="18">#REF!</definedName>
    <definedName name="d" localSheetId="0">#REF!</definedName>
    <definedName name="D" localSheetId="2">#REF!</definedName>
    <definedName name="D">#REF!</definedName>
    <definedName name="D_10">#REF!</definedName>
    <definedName name="D_EXT">#REF!</definedName>
    <definedName name="D_INT">#REF!</definedName>
    <definedName name="d_percápita">#REF!</definedName>
    <definedName name="d_PH">#REF!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#REF!</definedName>
    <definedName name="dario">#REF!</definedName>
    <definedName name="DASD" hidden="1">{"TAB1",#N/A,TRUE,"GENERAL";"TAB2",#N/A,TRUE,"GENERAL";"TAB3",#N/A,TRUE,"GENERAL";"TAB4",#N/A,TRUE,"GENERAL";"TAB5",#N/A,TRUE,"GENERAL"}</definedName>
    <definedName name="Data">#REF!</definedName>
    <definedName name="Database" localSheetId="17">#REF!</definedName>
    <definedName name="Database" localSheetId="18">#REF!</definedName>
    <definedName name="Database" localSheetId="2">#REF!</definedName>
    <definedName name="Database">#REF!</definedName>
    <definedName name="datos" localSheetId="0">#REF!</definedName>
    <definedName name="datos">#REF!</definedName>
    <definedName name="datos1">#REF!</definedName>
    <definedName name="datos2" localSheetId="17">#REF!</definedName>
    <definedName name="datos2" localSheetId="18">#REF!</definedName>
    <definedName name="datos2" localSheetId="0">#REF!</definedName>
    <definedName name="datos2">#REF!</definedName>
    <definedName name="datoseq">#REF!</definedName>
    <definedName name="datoss" localSheetId="17">#REF!</definedName>
    <definedName name="datoss" localSheetId="18">#REF!</definedName>
    <definedName name="datoss" localSheetId="2">#REF!</definedName>
    <definedName name="datoss">#REF!</definedName>
    <definedName name="dbb">#REF!</definedName>
    <definedName name="dbfdfbi" hidden="1">{"TAB1",#N/A,TRUE,"GENERAL";"TAB2",#N/A,TRUE,"GENERAL";"TAB3",#N/A,TRUE,"GENERAL";"TAB4",#N/A,TRUE,"GENERAL";"TAB5",#N/A,TRUE,"GENERAL"}</definedName>
    <definedName name="DCSDCTV" hidden="1">{"via1",#N/A,TRUE,"general";"via2",#N/A,TRUE,"general";"via3",#N/A,TRUE,"general"}</definedName>
    <definedName name="dd" localSheetId="17">#REF!</definedName>
    <definedName name="dd" localSheetId="18">#REF!</definedName>
    <definedName name="dd" localSheetId="0">#REF!</definedName>
    <definedName name="dd" localSheetId="2">#REF!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 localSheetId="0">#REF!</definedName>
    <definedName name="De">#REF!</definedName>
    <definedName name="De_6">#REF!</definedName>
    <definedName name="De_8">#REF!</definedName>
    <definedName name="deded" hidden="1">{"TAB1",#N/A,TRUE,"GENERAL";"TAB2",#N/A,TRUE,"GENERAL";"TAB3",#N/A,TRUE,"GENERAL";"TAB4",#N/A,TRUE,"GENERAL";"TAB5",#N/A,TRUE,"GENERAL"}</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f">#REF!</definedName>
    <definedName name="defd" hidden="1">{"via1",#N/A,TRUE,"general";"via2",#N/A,TRUE,"general";"via3",#N/A,TRUE,"general"}</definedName>
    <definedName name="delin">#REF!</definedName>
    <definedName name="dem.pav">#REF!</definedName>
    <definedName name="demanto">#REF!</definedName>
    <definedName name="demarc">#REF!</definedName>
    <definedName name="Demoliciones" localSheetId="17">#REF!</definedName>
    <definedName name="Demoliciones" localSheetId="18">#REF!</definedName>
    <definedName name="Demoliciones" localSheetId="2">#REF!</definedName>
    <definedName name="Demoliciones">#REF!</definedName>
    <definedName name="den_1a">#REF!</definedName>
    <definedName name="den_2da">#REF!</definedName>
    <definedName name="den_aisl">#REF!</definedName>
    <definedName name="den_ch">#REF!</definedName>
    <definedName name="den_cond">#REF!</definedName>
    <definedName name="DER">#REF!</definedName>
    <definedName name="deriv">#REF!</definedName>
    <definedName name="DESC_APU" localSheetId="17">IF(LEN(#REF!)=2,VLOOKUP(#REF!,#REF!,2,FALSE),IF(#REF!="",IF(#REF!="",IF(#REF!="","",'13. APU AMOBLAMIENTO'!DIRECTO),""),'13. APU AMOBLAMIENTO'!DESCRIPCION_APU))</definedName>
    <definedName name="DESC_APU" localSheetId="18">IF(LEN(#REF!)=2,VLOOKUP(#REF!,#REF!,2,FALSE),IF(#REF!="",IF(#REF!="",IF(#REF!="","",'14. APU CARP. METAL'!DIRECTO),""),'14. APU CARP. METAL'!DESCRIPCION_APU))</definedName>
    <definedName name="DESC_APU">IF(LEN(#REF!)=2,VLOOKUP(#REF!,#REF!,2,FALSE),IF(#REF!="",IF(#REF!="",IF(#REF!="","",DIRECTO),""),DESCRIPCION_APU))</definedName>
    <definedName name="descapote" localSheetId="17">#REF!</definedName>
    <definedName name="descapote" localSheetId="18">#REF!</definedName>
    <definedName name="descapote" localSheetId="0" hidden="1">{"TAB1",#N/A,TRUE,"GENERAL";"TAB2",#N/A,TRUE,"GENERAL";"TAB3",#N/A,TRUE,"GENERAL";"TAB4",#N/A,TRUE,"GENERAL";"TAB5",#N/A,TRUE,"GENERAL"}</definedName>
    <definedName name="descapote">#REF!</definedName>
    <definedName name="DESCRIPCION">#REF!</definedName>
    <definedName name="DESCRIPCION_APU" localSheetId="17">IF(ISERROR(SEARCH("-",#REF!,3)),'13. APU AMOBLAMIENTO'!INSUMO,[0]!ITEM)</definedName>
    <definedName name="DESCRIPCION_APU" localSheetId="18">IF(ISERROR(SEARCH("-",#REF!,3)),'14. APU CARP. METAL'!INSUMO,[0]!ITEM)</definedName>
    <definedName name="DESCRIPCION_APU">IF(ISERROR(SEARCH("-",#REF!,3)),INSUMO,[0]!ITEM)</definedName>
    <definedName name="DescripcionVenta">#REF!</definedName>
    <definedName name="design">#REF!</definedName>
    <definedName name="design2">#REF!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FSADFASGDASDGAGWAEFADFAWEWFADFSGASDGASGDAGSAGSDGASG" localSheetId="14" hidden="1">#REF!</definedName>
    <definedName name="DFASFDFSADFASGDASDGAGWAEFADFAWEWFADFSGASDGASGDAGSAGSDGASG" localSheetId="17" hidden="1">#REF!</definedName>
    <definedName name="DFASFDFSADFASGDASDGAGWAEFADFAWEWFADFSGASDGASGDAGSAGSDGASG" localSheetId="18" hidden="1">#REF!</definedName>
    <definedName name="DFASFDFSADFASGDASDGAGWAEFADFAWEWFADFSGASDGASGDAGSAGSDGASG" localSheetId="9" hidden="1">#REF!</definedName>
    <definedName name="DFASFDFSADFASGDASDGAGWAEFADFAWEWFADFSGASDGASGDAGSAGSDGASG" localSheetId="11" hidden="1">#REF!</definedName>
    <definedName name="DFASFDFSADFASGDASDGAGWAEFADFAWEWFADFSGASDGASGDAGSAGSDGASG" localSheetId="13" hidden="1">#REF!</definedName>
    <definedName name="DFASFDFSADFASGDASDGAGWAEFADFAWEWFADFSGASDGASGDAGSAGSDGASG" localSheetId="20" hidden="1">#REF!</definedName>
    <definedName name="DFASFDFSADFASGDASDGAGWAEFADFAWEWFADFSGASDGASGDAGSAGSDGASG" localSheetId="22" hidden="1">#REF!</definedName>
    <definedName name="DFASFDFSADFASGDASDGAGWAEFADFAWEWFADFSGASDGASGDAGSAGSDGASG" localSheetId="21" hidden="1">#REF!</definedName>
    <definedName name="DFASFDFSADFASGDASDGAGWAEFADFAWEWFADFSGASDGASGDAGSAGSDGASG" hidden="1">#REF!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nl">#REF!</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hp">#REF!</definedName>
    <definedName name="DIA">#REF!</definedName>
    <definedName name="DIA_LABOR_XMES">#REF!</definedName>
    <definedName name="dia24hr">#REF!</definedName>
    <definedName name="diametros" localSheetId="17">#REF!</definedName>
    <definedName name="diametros" localSheetId="18">#REF!</definedName>
    <definedName name="diametros" localSheetId="0">#REF!</definedName>
    <definedName name="diametros">#REF!</definedName>
    <definedName name="DiametrosCod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RECTO" localSheetId="17">"DIRECTO:  "&amp;TEXT(SUMIF(#REF!,#REF!,#REF!)/2,"#,##0")&amp;" / "&amp;VLOOKUP(#REF!,#REF!,3,FALSE)</definedName>
    <definedName name="DIRECTO" localSheetId="18">"DIRECTO:  "&amp;TEXT(SUMIF(#REF!,#REF!,#REF!)/2,"#,##0")&amp;" / "&amp;VLOOKUP(#REF!,#REF!,3,FALSE)</definedName>
    <definedName name="DIRECTO">"DIRECTO:  "&amp;TEXT(SUMIF(#REF!,#REF!,#REF!)/2,"#,##0")&amp;" / "&amp;VLOOKUP(#REF!,#REF!,3,FALSE)</definedName>
    <definedName name="DIRECTOS">#REF!</definedName>
    <definedName name="DISP">#REF!</definedName>
    <definedName name="DISPONIBILIDAD">#REF!</definedName>
    <definedName name="Diversos">#REF!</definedName>
    <definedName name="DIVISION">#N/A</definedName>
    <definedName name="djdytj" hidden="1">{"TAB1",#N/A,TRUE,"GENERAL";"TAB2",#N/A,TRUE,"GENERAL";"TAB3",#N/A,TRUE,"GENERAL";"TAB4",#N/A,TRUE,"GENERAL";"TAB5",#N/A,TRUE,"GENERAL"}</definedName>
    <definedName name="DOCUMENTACIÓN" localSheetId="17">#REF!</definedName>
    <definedName name="DOCUMENTACIÓN" localSheetId="18">#REF!</definedName>
    <definedName name="DOCUMENTACIÓN" localSheetId="2">#REF!</definedName>
    <definedName name="DOCUMENTACIÓN">#REF!</definedName>
    <definedName name="DOL">#REF!</definedName>
    <definedName name="DOLAR" localSheetId="17">#REF!</definedName>
    <definedName name="DOLAR" localSheetId="18">#REF!</definedName>
    <definedName name="dolar" localSheetId="0">#REF!</definedName>
    <definedName name="DOLAR" localSheetId="2">#REF!</definedName>
    <definedName name="DOLAR">#REF!</definedName>
    <definedName name="dos" localSheetId="17">#REF!</definedName>
    <definedName name="dos" localSheetId="18">#REF!</definedName>
    <definedName name="dos" localSheetId="0">#REF!</definedName>
    <definedName name="dos">#REF!</definedName>
    <definedName name="DOTACION">#REF!</definedName>
    <definedName name="Dp">#REF!</definedName>
    <definedName name="dr">#REF!</definedName>
    <definedName name="dren4">#REF!</definedName>
    <definedName name="drr">#REF!</definedName>
    <definedName name="dry" hidden="1">{"via1",#N/A,TRUE,"general";"via2",#N/A,TRUE,"general";"via3",#N/A,TRUE,"general"}</definedName>
    <definedName name="Drywall">#REF!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v">#REF!</definedName>
    <definedName name="dxfgg" hidden="1">{"via1",#N/A,TRUE,"general";"via2",#N/A,TRUE,"general";"via3",#N/A,TRUE,"general"}</definedName>
    <definedName name="E" localSheetId="17">#REF!</definedName>
    <definedName name="E" localSheetId="18">#REF!</definedName>
    <definedName name="e" localSheetId="0">#REF!</definedName>
    <definedName name="E" localSheetId="2">#REF!</definedName>
    <definedName name="E">#REF!</definedName>
    <definedName name="e3e33" hidden="1">{"via1",#N/A,TRUE,"general";"via2",#N/A,TRUE,"general";"via3",#N/A,TRUE,"general"}</definedName>
    <definedName name="ea" localSheetId="5">#REF!</definedName>
    <definedName name="ea" localSheetId="15">#REF!</definedName>
    <definedName name="ea" localSheetId="16">#REF!</definedName>
    <definedName name="ea" localSheetId="18">#REF!</definedName>
    <definedName name="ea" localSheetId="6">#REF!</definedName>
    <definedName name="ea" localSheetId="7">#REF!</definedName>
    <definedName name="ea" localSheetId="10">#REF!</definedName>
    <definedName name="ea" localSheetId="11">#REF!</definedName>
    <definedName name="ea" localSheetId="22">#REF!</definedName>
    <definedName name="ea">#REF!</definedName>
    <definedName name="EDEDWSWQA" hidden="1">{"TAB1",#N/A,TRUE,"GENERAL";"TAB2",#N/A,TRUE,"GENERAL";"TAB3",#N/A,TRUE,"GENERAL";"TAB4",#N/A,TRUE,"GENERAL";"TAB5",#N/A,TRUE,"GENERAL"}</definedName>
    <definedName name="EDERE" localSheetId="17">#REF!</definedName>
    <definedName name="EDERE" localSheetId="18">#REF!</definedName>
    <definedName name="EDERE" localSheetId="2">#REF!</definedName>
    <definedName name="EDERE">#REF!</definedName>
    <definedName name="edgfhmn" hidden="1">{"via1",#N/A,TRUE,"general";"via2",#N/A,TRUE,"general";"via3",#N/A,TRUE,"general"}</definedName>
    <definedName name="ee" localSheetId="17">#REF!</definedName>
    <definedName name="ee" localSheetId="18">#REF!</definedName>
    <definedName name="EE" localSheetId="0">#REF!</definedName>
    <definedName name="ee">#REF!</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ECTRICA">#REF!</definedName>
    <definedName name="ELECTRICAS">#REF!</definedName>
    <definedName name="ELECTRICO_ITEM_ESTIMADO" localSheetId="17">#REF!</definedName>
    <definedName name="ELECTRICO_ITEM_ESTIMADO" localSheetId="18">#REF!</definedName>
    <definedName name="ELECTRICO_ITEM_ESTIMADO">#REF!</definedName>
    <definedName name="electricosAPUS">#REF!</definedName>
    <definedName name="emanto">#REF!</definedName>
    <definedName name="emul">#REF!</definedName>
    <definedName name="ENCHAPES" localSheetId="17">#REF!,#REF!</definedName>
    <definedName name="ENCHAPES" localSheetId="18">#REF!,#REF!</definedName>
    <definedName name="ENCHAPES">#REF!,#REF!</definedName>
    <definedName name="ENCHAPES_1" localSheetId="17">#REF!</definedName>
    <definedName name="ENCHAPES_1" localSheetId="18">#REF!</definedName>
    <definedName name="ENCHAPES_1">#REF!</definedName>
    <definedName name="ENCHAPES_ITEM" localSheetId="17">#REF!,#REF!,#REF!,#REF!</definedName>
    <definedName name="ENCHAPES_ITEM" localSheetId="18">#REF!,#REF!,#REF!,#REF!</definedName>
    <definedName name="ENCHAPES_ITEM">#REF!,#REF!,#REF!,#REF!</definedName>
    <definedName name="ENCHAPES_VALOR">#REF!,#REF!,#REF!</definedName>
    <definedName name="End_Bal">#REF!</definedName>
    <definedName name="Ene">#REF!</definedName>
    <definedName name="Ene_C">#REF!</definedName>
    <definedName name="EneFeb">#REF!</definedName>
    <definedName name="ENSAYP">#REF!</definedName>
    <definedName name="ENT.A1">#REF!</definedName>
    <definedName name="ENT.ESP">#REF!</definedName>
    <definedName name="ENT1_SEPT25" localSheetId="17">#REF!,#REF!,#REF!</definedName>
    <definedName name="ENT1_SEPT25" localSheetId="18">#REF!,#REF!,#REF!</definedName>
    <definedName name="ENT1_SEPT25">#REF!,#REF!,#REF!</definedName>
    <definedName name="ENTIB">#REF!</definedName>
    <definedName name="ENTIBADO">#REF!</definedName>
    <definedName name="EQ">#REF!</definedName>
    <definedName name="EQPL" localSheetId="0">#REF!</definedName>
    <definedName name="EQUI">#REF!</definedName>
    <definedName name="equip">#REF!</definedName>
    <definedName name="EQUIPMAR">#REF!</definedName>
    <definedName name="EQUIPO" localSheetId="17">#REF!</definedName>
    <definedName name="EQUIPO" localSheetId="18">#REF!</definedName>
    <definedName name="equipo" localSheetId="0">#REF!</definedName>
    <definedName name="EQUIPO" localSheetId="2">#REF!</definedName>
    <definedName name="EQUIPO">#REF!</definedName>
    <definedName name="EQUIPO_1">#REF!</definedName>
    <definedName name="equipo2">#REF!</definedName>
    <definedName name="Equipos" localSheetId="0">#REF!</definedName>
    <definedName name="EQUIPOS">#REF!</definedName>
    <definedName name="EQUIPOS_Y_ACTIVOS_FIJOS" localSheetId="17">#REF!</definedName>
    <definedName name="EQUIPOS_Y_ACTIVOS_FIJOS" localSheetId="18">#REF!</definedName>
    <definedName name="EQUIPOS_Y_ACTIVOS_FIJOS" localSheetId="2">#REF!</definedName>
    <definedName name="EQUIPOS_Y_ACTIVOS_FIJOS">#REF!</definedName>
    <definedName name="EquiposEspeciale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5">#REF!</definedName>
    <definedName name="ES" localSheetId="15">#REF!</definedName>
    <definedName name="ES" localSheetId="16">#REF!</definedName>
    <definedName name="ES" localSheetId="18">#REF!</definedName>
    <definedName name="ES" localSheetId="6">#REF!</definedName>
    <definedName name="ES" localSheetId="7">#REF!</definedName>
    <definedName name="ES" localSheetId="10">#REF!</definedName>
    <definedName name="ES" localSheetId="11">#REF!</definedName>
    <definedName name="ES" localSheetId="22">#REF!</definedName>
    <definedName name="ES">#REF!</definedName>
    <definedName name="ESCALON">#REF!</definedName>
    <definedName name="ESP_PAV">#REF!</definedName>
    <definedName name="Esp_PC">#REF!</definedName>
    <definedName name="ESP_PUB_VAR_CARP_MET_ITEM" localSheetId="17">#REF!,#REF!</definedName>
    <definedName name="ESP_PUB_VAR_CARP_MET_ITEM" localSheetId="18">#REF!,#REF!</definedName>
    <definedName name="ESP_PUB_VAR_CARP_MET_ITEM">#REF!,#REF!</definedName>
    <definedName name="ESP_PUB_VIAS_YPARQ_ITEM" localSheetId="17">#REF!</definedName>
    <definedName name="ESP_PUB_VIAS_YPARQ_ITEM" localSheetId="18">#REF!</definedName>
    <definedName name="ESP_PUB_VIAS_YPARQ_ITEM">#REF!</definedName>
    <definedName name="ESP_PUBLICO_EXT_ITEM" localSheetId="17">#REF!,#REF!,#REF!,#REF!,#REF!,#REF!,#REF!,#REF!,#REF!,#REF!,#REF!,#REF!,#REF!</definedName>
    <definedName name="ESP_PUBLICO_EXT_ITEM" localSheetId="18">#REF!,#REF!,#REF!,#REF!,#REF!,#REF!,#REF!,#REF!,#REF!,#REF!,#REF!,#REF!,#REF!</definedName>
    <definedName name="ESP_PUBLICO_EXT_ITEM">#REF!,#REF!,#REF!,#REF!,#REF!,#REF!,#REF!,#REF!,#REF!,#REF!,#REF!,#REF!,#REF!</definedName>
    <definedName name="ESP1S">#REF!</definedName>
    <definedName name="ESP2S">#REF!</definedName>
    <definedName name="ESPEJOS_ITEM" localSheetId="17">#REF!</definedName>
    <definedName name="ESPEJOS_ITEM" localSheetId="18">#REF!</definedName>
    <definedName name="ESPEJOS_ITEM">#REF!</definedName>
    <definedName name="ESPESOR">#REF!</definedName>
    <definedName name="ESPR">#REF!</definedName>
    <definedName name="Estabilidad">#REF!</definedName>
    <definedName name="Estabilidad2">#REF!</definedName>
    <definedName name="Estabilidad3">#REF!</definedName>
    <definedName name="ESTAC" localSheetId="0">#REF!</definedName>
    <definedName name="ESTAC">#REF!</definedName>
    <definedName name="estadotramite">#REF!</definedName>
    <definedName name="ESTOP" localSheetId="0">#REF!</definedName>
    <definedName name="ESTOP">#REF!</definedName>
    <definedName name="ESTRUCT_ITEM" localSheetId="17">#REF!</definedName>
    <definedName name="ESTRUCT_ITEM" localSheetId="18">#REF!</definedName>
    <definedName name="ESTRUCT_ITEM">#REF!</definedName>
    <definedName name="ESTRUCTURA" localSheetId="17">#REF!,#REF!,#REF!,#REF!,#REF!,#REF!,#REF!,#REF!,#REF!,#REF!,#REF!,#REF!,#REF!</definedName>
    <definedName name="ESTRUCTURA" localSheetId="18">#REF!,#REF!,#REF!,#REF!,#REF!,#REF!,#REF!,#REF!,#REF!,#REF!,#REF!,#REF!,#REF!</definedName>
    <definedName name="ESTRUCTURA">#REF!,#REF!,#REF!,#REF!,#REF!,#REF!,#REF!,#REF!,#REF!,#REF!,#REF!,#REF!,#REF!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STHGT" localSheetId="17">#REF!</definedName>
    <definedName name="EWRSTHGT" localSheetId="18">#REF!</definedName>
    <definedName name="EWRSTHGT" localSheetId="2">#REF!</definedName>
    <definedName name="EWRSTHGT">#REF!</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0">#REF!</definedName>
    <definedName name="EXC">#REF!</definedName>
    <definedName name="EXC.POZ">#REF!</definedName>
    <definedName name="EXC.ZAN">#REF!</definedName>
    <definedName name="exCEL">#REF!</definedName>
    <definedName name="Excel_BuiltIn__FilterDatabase" localSheetId="0">#REF!</definedName>
    <definedName name="Excel_BuiltIn__FilterDatabase">#REF!</definedName>
    <definedName name="Excel_BuiltIn_Print_Area" localSheetId="0">#REF!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 localSheetId="0">#REF!</definedName>
    <definedName name="Excel_BuiltIn_Print_Titles">#REF!</definedName>
    <definedName name="Excel_BuiltIn_Print_Titles_1" localSheetId="0">#REF!</definedName>
    <definedName name="Excel_BuiltIn_Print_Titles_1">"$#REF!.$A$1:$AMJ$15"</definedName>
    <definedName name="Excel_BuiltIn_Print_Titles_1_1">#REF!</definedName>
    <definedName name="Excel_BuiltIn_Print_Titles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_1">#REF!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MH">#REF!</definedName>
    <definedName name="EXCMM">#REF!</definedName>
    <definedName name="EXCMR">#REF!</definedName>
    <definedName name="extra" localSheetId="0">#REF!</definedName>
    <definedName name="EXTRA">#REF!</definedName>
    <definedName name="Extra_Pay">#REF!</definedName>
    <definedName name="EXTRA2">#REF!</definedName>
    <definedName name="EXTRA3">#REF!</definedName>
    <definedName name="EXTRA5">#REF!</definedName>
    <definedName name="EXTRA6">#REF!</definedName>
    <definedName name="EXTRA7">#REF!</definedName>
    <definedName name="FACHADA_ITEM" localSheetId="17">#REF!</definedName>
    <definedName name="FACHADA_ITEM" localSheetId="18">#REF!</definedName>
    <definedName name="FACHADA_ITEM">#REF!</definedName>
    <definedName name="FACT">#REF!</definedName>
    <definedName name="FACT_PRESTACION">#REF!</definedName>
    <definedName name="FACTOR">#REF!</definedName>
    <definedName name="FACTOR1">#N/A</definedName>
    <definedName name="FACTOR3">#N/A</definedName>
    <definedName name="FACTORE">#REF!</definedName>
    <definedName name="FACTORH">#REF!</definedName>
    <definedName name="factura">#REF!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 localSheetId="17">#REF!</definedName>
    <definedName name="FDGASDFASD" localSheetId="18">#REF!</definedName>
    <definedName name="FDGASDFASD" localSheetId="0">#REF!</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b_C">#REF!</definedName>
    <definedName name="FEC">#REF!</definedName>
    <definedName name="FECH">#REF!</definedName>
    <definedName name="Fecha">#REF!</definedName>
    <definedName name="FECHA_CORTE">#REF!</definedName>
    <definedName name="FECHA_TERMINACION_CONTRATO">#REF!</definedName>
    <definedName name="FECHA5">#REF!,#REF!</definedName>
    <definedName name="ferfer" hidden="1">{"via1",#N/A,TRUE,"general";"via2",#N/A,TRUE,"general";"via3",#N/A,TRUE,"general"}</definedName>
    <definedName name="Ferreteria">#REF!</definedName>
    <definedName name="Festivos">#REF!</definedName>
    <definedName name="ff" localSheetId="5">#REF!</definedName>
    <definedName name="ff" localSheetId="15">#REF!</definedName>
    <definedName name="ff" localSheetId="16">#REF!</definedName>
    <definedName name="ff" localSheetId="18">#REF!</definedName>
    <definedName name="ff" localSheetId="6">#REF!</definedName>
    <definedName name="ff" localSheetId="7">#REF!</definedName>
    <definedName name="ff" localSheetId="10">#REF!</definedName>
    <definedName name="ff" localSheetId="11">#REF!</definedName>
    <definedName name="ff" localSheetId="22">#REF!</definedName>
    <definedName name="ff">#REF!</definedName>
    <definedName name="fff" hidden="1">{"via1",#N/A,TRUE,"general";"via2",#N/A,TRUE,"general";"via3",#N/A,TRUE,"general"}</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localSheetId="5">#REF!</definedName>
    <definedName name="fg" localSheetId="15">#REF!</definedName>
    <definedName name="fg" localSheetId="16">#REF!</definedName>
    <definedName name="fg" localSheetId="18">#REF!</definedName>
    <definedName name="fg" localSheetId="6">#REF!</definedName>
    <definedName name="fg" localSheetId="7">#REF!</definedName>
    <definedName name="fg" localSheetId="10">#REF!</definedName>
    <definedName name="fg" localSheetId="11">#REF!</definedName>
    <definedName name="fg" localSheetId="22">#REF!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EN">#REF!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 localSheetId="17">#REF!</definedName>
    <definedName name="fi" localSheetId="18">#REF!</definedName>
    <definedName name="fi">#REF!</definedName>
    <definedName name="FIBRA_ÓPTICA" localSheetId="17">#REF!</definedName>
    <definedName name="FIBRA_ÓPTICA" localSheetId="18">#REF!</definedName>
    <definedName name="FIBRA_ÓPTICA" localSheetId="2">#REF!</definedName>
    <definedName name="FIBRA_ÓPTICA">#REF!</definedName>
    <definedName name="filt">#REF!</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_de_semana">#REF!</definedName>
    <definedName name="final">#REF!</definedName>
    <definedName name="FINANCIACION" localSheetId="5">#REF!</definedName>
    <definedName name="FINANCIACION" localSheetId="15">#REF!</definedName>
    <definedName name="FINANCIACION" localSheetId="16">#REF!</definedName>
    <definedName name="FINANCIACION" localSheetId="18">#REF!</definedName>
    <definedName name="FINANCIACION" localSheetId="6">#REF!</definedName>
    <definedName name="FINANCIACION" localSheetId="7">#REF!</definedName>
    <definedName name="FINANCIACION" localSheetId="10">#REF!</definedName>
    <definedName name="FINANCIACION" localSheetId="11">#REF!</definedName>
    <definedName name="FINANCIACION" localSheetId="22">#REF!</definedName>
    <definedName name="FINANCIACION">#REF!</definedName>
    <definedName name="FINISHER">#REF!</definedName>
    <definedName name="Flujo">#REF!</definedName>
    <definedName name="Flujo2">#REF!</definedName>
    <definedName name="Flujo3">#REF!</definedName>
    <definedName name="FMAT">#REF!</definedName>
    <definedName name="Fondo">#REF!</definedName>
    <definedName name="form">#REF!</definedName>
    <definedName name="FORM3" localSheetId="0">#REF!</definedName>
    <definedName name="FORMA" localSheetId="0">#REF!</definedName>
    <definedName name="FORMAC">#REF!</definedName>
    <definedName name="Formaletas">#REF!</definedName>
    <definedName name="FORMC">#REF!</definedName>
    <definedName name="FORMH" localSheetId="0">#REF!</definedName>
    <definedName name="FORMH">#REF!</definedName>
    <definedName name="FORMH1">#REF!</definedName>
    <definedName name="FORMM" localSheetId="0">#REF!</definedName>
    <definedName name="Formulario">+#REF!</definedName>
    <definedName name="formularioCantidades" localSheetId="17">#REF!</definedName>
    <definedName name="formularioCantidades" localSheetId="18">#REF!</definedName>
    <definedName name="formularioCantidades" localSheetId="0">#REF!</definedName>
    <definedName name="formularioCantidades">#REF!</definedName>
    <definedName name="FPrestacional">#REF!+#REF!</definedName>
    <definedName name="FR" localSheetId="17">#REF!</definedName>
    <definedName name="FR" localSheetId="18">#REF!</definedName>
    <definedName name="FR">#REF!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dfdsf" localSheetId="5">#REF!</definedName>
    <definedName name="fsdfdsf" localSheetId="15">#REF!</definedName>
    <definedName name="fsdfdsf" localSheetId="16">#REF!</definedName>
    <definedName name="fsdfdsf" localSheetId="18">#REF!</definedName>
    <definedName name="fsdfdsf" localSheetId="6">#REF!</definedName>
    <definedName name="fsdfdsf" localSheetId="7">#REF!</definedName>
    <definedName name="fsdfdsf" localSheetId="10">#REF!</definedName>
    <definedName name="fsdfdsf" localSheetId="11">#REF!</definedName>
    <definedName name="fsdfdsf" localSheetId="22">#REF!</definedName>
    <definedName name="fsdfdsf">#REF!</definedName>
    <definedName name="fu" localSheetId="5">#REF!</definedName>
    <definedName name="fu" localSheetId="15">#REF!</definedName>
    <definedName name="fu" localSheetId="16">#REF!</definedName>
    <definedName name="fu" localSheetId="18">#REF!</definedName>
    <definedName name="fu" localSheetId="6">#REF!</definedName>
    <definedName name="fu" localSheetId="7">#REF!</definedName>
    <definedName name="fu" localSheetId="10">#REF!</definedName>
    <definedName name="fu" localSheetId="11">#REF!</definedName>
    <definedName name="fu" localSheetId="22">#REF!</definedName>
    <definedName name="fu">#REF!</definedName>
    <definedName name="fue" localSheetId="17">#REF!</definedName>
    <definedName name="fue" localSheetId="18">#REF!</definedName>
    <definedName name="fue" localSheetId="0">#REF!</definedName>
    <definedName name="fue">#REF!</definedName>
    <definedName name="Fuente">#REF!</definedName>
    <definedName name="Full_Print">#REF!</definedName>
    <definedName name="fvfhreioufheruiofhe2oui" localSheetId="17">#REF!</definedName>
    <definedName name="fvfhreioufheruiofhe2oui" localSheetId="18">#REF!</definedName>
    <definedName name="fvfhreioufheruiofhe2oui" localSheetId="2">#REF!</definedName>
    <definedName name="fvfhreioufheruiofhe2oui">#REF!</definedName>
    <definedName name="fwff" hidden="1">{"via1",#N/A,TRUE,"general";"via2",#N/A,TRUE,"general";"via3",#N/A,TRUE,"general"}</definedName>
    <definedName name="fwwe" hidden="1">{"via1",#N/A,TRUE,"general";"via2",#N/A,TRUE,"general";"via3",#N/A,TRUE,"general"}</definedName>
    <definedName name="G" localSheetId="17" hidden="1">#REF!</definedName>
    <definedName name="G" localSheetId="18" hidden="1">#REF!</definedName>
    <definedName name="g" localSheetId="0">#REF!</definedName>
    <definedName name="G" localSheetId="2" hidden="1">#REF!</definedName>
    <definedName name="G" hidden="1">#REF!</definedName>
    <definedName name="GASO" localSheetId="0">#REF!</definedName>
    <definedName name="Gastos" localSheetId="17">#REF!</definedName>
    <definedName name="Gastos" localSheetId="18">#REF!</definedName>
    <definedName name="Gastos" localSheetId="0">#REF!</definedName>
    <definedName name="Gastos" localSheetId="2">#REF!</definedName>
    <definedName name="Gastos">#REF!</definedName>
    <definedName name="Gastosbancarios">#REF!</definedName>
    <definedName name="Gastoslegales">#REF!</definedName>
    <definedName name="Gastosviaje">#REF!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o">#REF!</definedName>
    <definedName name="geodren">#REF!</definedName>
    <definedName name="geomalla">#REF!</definedName>
    <definedName name="Geosinteticos">#REF!</definedName>
    <definedName name="GEOT" localSheetId="0">#REF!</definedName>
    <definedName name="GEOT">#REF!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localSheetId="17">#REF!</definedName>
    <definedName name="gg" localSheetId="18">#REF!</definedName>
    <definedName name="gg" localSheetId="0" hidden="1">{"TAB1",#N/A,TRUE,"GENERAL";"TAB2",#N/A,TRUE,"GENERAL";"TAB3",#N/A,TRUE,"GENERAL";"TAB4",#N/A,TRUE,"GENERAL";"TAB5",#N/A,TRUE,"GENERAL"}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 localSheetId="5">#REF!</definedName>
    <definedName name="GGG" localSheetId="15">#REF!</definedName>
    <definedName name="GGG" localSheetId="16">#REF!</definedName>
    <definedName name="GGG" localSheetId="18">#REF!</definedName>
    <definedName name="GGG" localSheetId="6">#REF!</definedName>
    <definedName name="GGG" localSheetId="7">#REF!</definedName>
    <definedName name="GGG" localSheetId="10">#REF!</definedName>
    <definedName name="GGG" localSheetId="11">#REF!</definedName>
    <definedName name="GGG" localSheetId="22">#REF!</definedName>
    <definedName name="GGG">#REF!</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IRON">#REF!</definedName>
    <definedName name="GJHVCB" hidden="1">{"TAB1",#N/A,TRUE,"GENERAL";"TAB2",#N/A,TRUE,"GENERAL";"TAB3",#N/A,TRUE,"GENERAL";"TAB4",#N/A,TRUE,"GENERAL";"TAB5",#N/A,TRUE,"GENERAL"}</definedName>
    <definedName name="gk" hidden="1">{"via1",#N/A,TRUE,"general";"via2",#N/A,TRUE,"general";"via3",#N/A,TRUE,"general"}</definedName>
    <definedName name="gmvsa">#REF!</definedName>
    <definedName name="GPS">#REF!</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GRAD">#REF!</definedName>
    <definedName name="GRADA">#REF!</definedName>
    <definedName name="gradacion">#REF!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 localSheetId="0">#REF!</definedName>
    <definedName name="GRAMA">#REF!</definedName>
    <definedName name="graNo">#REF!</definedName>
    <definedName name="GRAP" localSheetId="0">#REF!</definedName>
    <definedName name="GRAP">#REF!</definedName>
    <definedName name="grapas">#REF!</definedName>
    <definedName name="GRAV2" localSheetId="0">#REF!</definedName>
    <definedName name="GRAV2">#REF!</definedName>
    <definedName name="GRAV3" localSheetId="0">#REF!</definedName>
    <definedName name="GRAV4" localSheetId="0">#REF!</definedName>
    <definedName name="GRAV4">#REF!</definedName>
    <definedName name="GRAVILLA" localSheetId="0">#REF!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 localSheetId="17">#REF!</definedName>
    <definedName name="GRIFERIAS_ITEM" localSheetId="18">#REF!</definedName>
    <definedName name="GRIFERIAS_ITEM">#REF!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 localSheetId="0">#REF!</definedName>
    <definedName name="h">#REF!</definedName>
    <definedName name="h.EXC">#REF!</definedName>
    <definedName name="h.LOM">#REF!</definedName>
    <definedName name="H.LOMO">#REF!</definedName>
    <definedName name="h.POZ">#REF!</definedName>
    <definedName name="h9h" hidden="1">{"via1",#N/A,TRUE,"general";"via2",#N/A,TRUE,"general";"via3",#N/A,TRUE,"general"}</definedName>
    <definedName name="hab___viv">#REF!</definedName>
    <definedName name="HACER"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#REF!</definedName>
    <definedName name="hbfdhrw" hidden="1">{"TAB1",#N/A,TRUE,"GENERAL";"TAB2",#N/A,TRUE,"GENERAL";"TAB3",#N/A,TRUE,"GENERAL";"TAB4",#N/A,TRUE,"GENERAL";"TAB5",#N/A,TRUE,"GENERAL"}</definedName>
    <definedName name="HC78MH" localSheetId="0">#REF!</definedName>
    <definedName name="HC78MH">#REF!</definedName>
    <definedName name="hd" localSheetId="17">#REF!</definedName>
    <definedName name="hd" localSheetId="18">#REF!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RADURA">#REF!</definedName>
    <definedName name="HERRAMIENTA">#REF!</definedName>
    <definedName name="HERRAT">#REF!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localSheetId="17">#REF!</definedName>
    <definedName name="hh" localSheetId="18">#REF!</definedName>
    <definedName name="hh" localSheetId="0" hidden="1">#REF!</definedName>
    <definedName name="hh" localSheetId="2">#REF!</definedName>
    <definedName name="hh">#REF!</definedName>
    <definedName name="hhh" hidden="1">{"TAB1",#N/A,TRUE,"GENERAL";"TAB2",#N/A,TRUE,"GENERAL";"TAB3",#N/A,TRUE,"GENERAL";"TAB4",#N/A,TRUE,"GENERAL";"TAB5",#N/A,TRUE,"GENERAL"}</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 localSheetId="0">#REF!</definedName>
    <definedName name="Hid">#REF!</definedName>
    <definedName name="HIDRO" localSheetId="17">#REF!</definedName>
    <definedName name="HIDRO" localSheetId="18">#REF!</definedName>
    <definedName name="HIDRO" localSheetId="0">#REF!</definedName>
    <definedName name="HIDRO" localSheetId="2">#REF!</definedName>
    <definedName name="HIDRO">#REF!</definedName>
    <definedName name="HIDROSANITYGAS_ITEM" localSheetId="17">#REF!</definedName>
    <definedName name="HIDROSANITYGAS_ITEM" localSheetId="18">#REF!</definedName>
    <definedName name="HIDROSANITYGAS_ITEM">#REF!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g" hidden="1">{"TAB1",#N/A,TRUE,"GENERAL";"TAB2",#N/A,TRUE,"GENERAL";"TAB3",#N/A,TRUE,"GENERAL";"TAB4",#N/A,TRUE,"GENERAL";"TAB5",#N/A,TRUE,"GENERAL"}</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KH" hidden="1">{"via1",#N/A,TRUE,"general";"via2",#N/A,TRUE,"general";"via3",#N/A,TRUE,"general"}</definedName>
    <definedName name="hjkjk" hidden="1">{"via1",#N/A,TRUE,"general";"via2",#N/A,TRUE,"general";"via3",#N/A,TRUE,"general"}</definedName>
    <definedName name="HM3JH" localSheetId="0">#REF!</definedName>
    <definedName name="HM3JH">#REF!</definedName>
    <definedName name="hn" hidden="1">{"TAB1",#N/A,TRUE,"GENERAL";"TAB2",#N/A,TRUE,"GENERAL";"TAB3",#N/A,TRUE,"GENERAL";"TAB4",#N/A,TRUE,"GENERAL";"TAB5",#N/A,TRUE,"GENERAL"}</definedName>
    <definedName name="HOD_Ayudante" localSheetId="17">#REF!</definedName>
    <definedName name="HOD_Ayudante" localSheetId="18">#REF!</definedName>
    <definedName name="HOD_Ayudante" localSheetId="2">#REF!</definedName>
    <definedName name="HOD_Ayudante">#REF!</definedName>
    <definedName name="HOD_Oficial" localSheetId="17">#REF!</definedName>
    <definedName name="HOD_Oficial" localSheetId="18">#REF!</definedName>
    <definedName name="HOD_Oficial" localSheetId="2">#REF!</definedName>
    <definedName name="HOD_Oficial">#REF!</definedName>
    <definedName name="HOD_Supervisor" localSheetId="17">#REF!</definedName>
    <definedName name="HOD_Supervisor" localSheetId="18">#REF!</definedName>
    <definedName name="HOD_Supervisor" localSheetId="2">#REF!</definedName>
    <definedName name="HOD_Supervisor">#REF!</definedName>
    <definedName name="hoja" localSheetId="17">#REF!</definedName>
    <definedName name="hoja" localSheetId="18">#REF!</definedName>
    <definedName name="hoja" localSheetId="2">#REF!</definedName>
    <definedName name="hoja">#REF!</definedName>
    <definedName name="HOJA1">#REF!</definedName>
    <definedName name="HOJA14">#REF!</definedName>
    <definedName name="HOJA22" localSheetId="17">#REF!</definedName>
    <definedName name="HOJA22" localSheetId="18">#REF!</definedName>
    <definedName name="HOJA22" localSheetId="2">#REF!</definedName>
    <definedName name="HOJA22">#REF!</definedName>
    <definedName name="hola" localSheetId="17">#REF!</definedName>
    <definedName name="hola" localSheetId="18">#REF!</definedName>
    <definedName name="HOLA" localSheetId="0">#REF!</definedName>
    <definedName name="hola" localSheetId="2">#REF!</definedName>
    <definedName name="hola">#REF!</definedName>
    <definedName name="Honorari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at" localSheetId="17">#REF!</definedName>
    <definedName name="horat" localSheetId="18">#REF!</definedName>
    <definedName name="horat" localSheetId="0">#REF!</definedName>
    <definedName name="horat">#REF!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75MH" localSheetId="0">#REF!</definedName>
    <definedName name="HT75MH">#REF!</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AU">#REF!</definedName>
    <definedName name="iccp">#REF!</definedName>
    <definedName name="ignacio">#REF!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hidden="1">#REF!</definedName>
    <definedName name="IM" hidden="1">#REF!</definedName>
    <definedName name="Impermeabilizantes">#REF!</definedName>
    <definedName name="imprev">#REF!</definedName>
    <definedName name="IMPREVISTO">#REF!</definedName>
    <definedName name="IMPREVISTOS" localSheetId="0">#REF!</definedName>
    <definedName name="IMPREVISTOS">#REF!</definedName>
    <definedName name="IMPRI" localSheetId="0">#REF!</definedName>
    <definedName name="IMPRI">#REF!</definedName>
    <definedName name="Imprima">#REF!</definedName>
    <definedName name="IN" hidden="1">#REF!</definedName>
    <definedName name="INCRUST" localSheetId="17">#REF!,#REF!,#REF!,#REF!,#REF!</definedName>
    <definedName name="INCRUST" localSheetId="18">#REF!,#REF!,#REF!,#REF!,#REF!</definedName>
    <definedName name="INCRUST">#REF!,#REF!,#REF!,#REF!,#REF!</definedName>
    <definedName name="INDI">#REF!</definedName>
    <definedName name="indicador">#REF!</definedName>
    <definedName name="INDICE">#REF!</definedName>
    <definedName name="INDICES">#REF!</definedName>
    <definedName name="indirectos">#REF!</definedName>
    <definedName name="inf">#REF!</definedName>
    <definedName name="Ingeniería" localSheetId="17">#REF!</definedName>
    <definedName name="Ingeniería" localSheetId="18">#REF!</definedName>
    <definedName name="Ingeniería" localSheetId="2">#REF!</definedName>
    <definedName name="Ingeniería">#REF!</definedName>
    <definedName name="inicial">#REF!</definedName>
    <definedName name="Inicio">#REF!</definedName>
    <definedName name="INMEL">#REF!</definedName>
    <definedName name="Inst.Electricas">#REF!</definedName>
    <definedName name="Inst.Hidrosanitarias">#REF!</definedName>
    <definedName name="INSU" localSheetId="0">#REF!</definedName>
    <definedName name="INSU">#REF!</definedName>
    <definedName name="INSUMO" localSheetId="17">VLOOKUP(#REF!,#REF!,2,FALSE)</definedName>
    <definedName name="INSUMO" localSheetId="18">VLOOKUP(#REF!,#REF!,2,FALSE)</definedName>
    <definedName name="INSUMO" localSheetId="0">#REF!</definedName>
    <definedName name="INSUMO">VLOOKUP(#REF!,#REF!,2,FALSE)</definedName>
    <definedName name="INSUMOS">#REF!</definedName>
    <definedName name="Int">#REF!</definedName>
    <definedName name="InTap" localSheetId="0">#REF!</definedName>
    <definedName name="InTap">#REF!</definedName>
    <definedName name="Interest_Rate">#REF!</definedName>
    <definedName name="INTERv" localSheetId="0">#REF!</definedName>
    <definedName name="INTERv">#REF!</definedName>
    <definedName name="IntVal" localSheetId="0">#REF!</definedName>
    <definedName name="IntVal">#REF!</definedName>
    <definedName name="INV_11">#REF!</definedName>
    <definedName name="Io">#REF!</definedName>
    <definedName name="Item" localSheetId="0">#REF!</definedName>
    <definedName name="ITEM">#REF!</definedName>
    <definedName name="ITEM1" localSheetId="17">#REF!</definedName>
    <definedName name="ITEM1" localSheetId="18">#REF!</definedName>
    <definedName name="ITEM1" localSheetId="0">#REF!</definedName>
    <definedName name="ITEM1">#REF!</definedName>
    <definedName name="ITEM15">#REF!</definedName>
    <definedName name="item1a">#REF!</definedName>
    <definedName name="ITEM2" localSheetId="17">#REF!</definedName>
    <definedName name="ITEM2" localSheetId="18">#REF!</definedName>
    <definedName name="ITEM2" localSheetId="0">#REF!</definedName>
    <definedName name="ITEM2">#REF!</definedName>
    <definedName name="item2a">#REF!</definedName>
    <definedName name="ITEM3" localSheetId="17">#REF!</definedName>
    <definedName name="ITEM3" localSheetId="18">#REF!</definedName>
    <definedName name="ITEM3" localSheetId="0">#REF!</definedName>
    <definedName name="ITEM3">#REF!</definedName>
    <definedName name="item5">#REF!</definedName>
    <definedName name="ItemCodos" localSheetId="17">#REF!</definedName>
    <definedName name="ItemCodos" localSheetId="18">#REF!</definedName>
    <definedName name="ItemCodos" localSheetId="0">#REF!</definedName>
    <definedName name="ItemCodos">#REF!</definedName>
    <definedName name="ITEMES">#REF!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7">#REF!</definedName>
    <definedName name="IVA" localSheetId="18">#REF!</definedName>
    <definedName name="IVA" localSheetId="0">#REF!</definedName>
    <definedName name="IVA" localSheetId="2">#REF!</definedName>
    <definedName name="IVA">#REF!</definedName>
    <definedName name="IVAUTIL">#REF!</definedName>
    <definedName name="iyuiuyi" hidden="1">{"via1",#N/A,TRUE,"general";"via2",#N/A,TRUE,"general";"via3",#N/A,TRUE,"general"}</definedName>
    <definedName name="IZQ">#REF!</definedName>
    <definedName name="j" localSheetId="0" hidden="1">#REF!</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k" hidden="1">{"TAB1",#N/A,TRUE,"GENERAL";"TAB2",#N/A,TRUE,"GENERAL";"TAB3",#N/A,TRUE,"GENERAL";"TAB4",#N/A,TRUE,"GENERAL";"TAB5",#N/A,TRUE,"GENERAL"}</definedName>
    <definedName name="jkl" hidden="1">{"TAB1",#N/A,TRUE,"GENERAL";"TAB2",#N/A,TRUE,"GENERAL";"TAB3",#N/A,TRUE,"GENERAL";"TAB4",#N/A,TRUE,"GENERAL";"TAB5",#N/A,TRUE,"GENERAL"}</definedName>
    <definedName name="JOHNNY" localSheetId="5">#REF!</definedName>
    <definedName name="JOHNNY" localSheetId="15">#REF!</definedName>
    <definedName name="JOHNNY" localSheetId="16">#REF!</definedName>
    <definedName name="JOHNNY" localSheetId="18">#REF!</definedName>
    <definedName name="JOHNNY" localSheetId="6">#REF!</definedName>
    <definedName name="JOHNNY" localSheetId="7">#REF!</definedName>
    <definedName name="JOHNNY" localSheetId="10">#REF!</definedName>
    <definedName name="JOHNNY" localSheetId="11">#REF!</definedName>
    <definedName name="JOHNNY" localSheetId="22">#REF!</definedName>
    <definedName name="JOHNNY">#REF!</definedName>
    <definedName name="JOTA">#N/A</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#REF!</definedName>
    <definedName name="JulAgo_C">#REF!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17">#REF!</definedName>
    <definedName name="K" localSheetId="18">#REF!</definedName>
    <definedName name="K" localSheetId="2">#REF!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fjdjdhdjf" localSheetId="17">#REF!</definedName>
    <definedName name="kfjdjdhdjf" localSheetId="18">#REF!</definedName>
    <definedName name="kfjdjdhdjf" localSheetId="2">#REF!</definedName>
    <definedName name="kfjdjdhdjf">#REF!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 localSheetId="5">#REF!</definedName>
    <definedName name="kl" localSheetId="15">#REF!</definedName>
    <definedName name="kl" localSheetId="16">#REF!</definedName>
    <definedName name="kl" localSheetId="18">#REF!</definedName>
    <definedName name="kl" localSheetId="6">#REF!</definedName>
    <definedName name="kl" localSheetId="7">#REF!</definedName>
    <definedName name="kl" localSheetId="10">#REF!</definedName>
    <definedName name="kl" localSheetId="11">#REF!</definedName>
    <definedName name="kl" localSheetId="22">#REF!</definedName>
    <definedName name="kl">#REF!</definedName>
    <definedName name="krtrk" hidden="1">{"via1",#N/A,TRUE,"general";"via2",#N/A,TRUE,"general";"via3",#N/A,TRUE,"general"}</definedName>
    <definedName name="kyr" hidden="1">{"TAB1",#N/A,TRUE,"GENERAL";"TAB2",#N/A,TRUE,"GENERAL";"TAB3",#N/A,TRUE,"GENERAL";"TAB4",#N/A,TRUE,"GENERAL";"TAB5",#N/A,TRUE,"GENERAL"}</definedName>
    <definedName name="kyyuj6rujr6sr" localSheetId="17">#REF!</definedName>
    <definedName name="kyyuj6rujr6sr" localSheetId="18">#REF!</definedName>
    <definedName name="kyyuj6rujr6sr" localSheetId="2">#REF!</definedName>
    <definedName name="kyyuj6rujr6sr">#REF!</definedName>
    <definedName name="l" localSheetId="17">#REF!</definedName>
    <definedName name="l" localSheetId="18">#REF!</definedName>
    <definedName name="l" localSheetId="2">#REF!</definedName>
    <definedName name="l">#REF!</definedName>
    <definedName name="L.CARCAMO">#REF!</definedName>
    <definedName name="L.CIL">#REF!</definedName>
    <definedName name="L_">#REF!</definedName>
    <definedName name="L_TUB">#REF!</definedName>
    <definedName name="la">#REF!</definedName>
    <definedName name="LAD">#REF!</definedName>
    <definedName name="LADO">#REF!</definedName>
    <definedName name="Ladrillos">#REF!</definedName>
    <definedName name="LARGUE" localSheetId="0">#REF!</definedName>
    <definedName name="LARGUE">#REF!</definedName>
    <definedName name="Last_Row">#N/A</definedName>
    <definedName name="Lestrategicas">#REF!</definedName>
    <definedName name="LICITA" localSheetId="17">#REF!</definedName>
    <definedName name="LICITA" localSheetId="18">#REF!</definedName>
    <definedName name="LICITA" localSheetId="2">#REF!</definedName>
    <definedName name="LICITA">#REF!</definedName>
    <definedName name="LICITACION">#REF!</definedName>
    <definedName name="LICITACION_PUBLICA" localSheetId="17">#REF!</definedName>
    <definedName name="LICITACION_PUBLICA" localSheetId="18">#REF!</definedName>
    <definedName name="LICITACION_PUBLICA" localSheetId="2">#REF!</definedName>
    <definedName name="LICITACION_PUBLICA">#REF!</definedName>
    <definedName name="LIGA">#REF!</definedName>
    <definedName name="LIMP" localSheetId="0">#REF!</definedName>
    <definedName name="LIMP14">#REF!</definedName>
    <definedName name="LIMPIO">#REF!</definedName>
    <definedName name="lineas">#REF!</definedName>
    <definedName name="lista">#REF!</definedName>
    <definedName name="lista_cualitativa">#REF!</definedName>
    <definedName name="listaaguas">#REF!</definedName>
    <definedName name="ListaCantidad" localSheetId="17">#REF!</definedName>
    <definedName name="ListaCantidad" localSheetId="18">#REF!</definedName>
    <definedName name="ListaCantidad" localSheetId="0">#REF!</definedName>
    <definedName name="ListaCantidad">#REF!</definedName>
    <definedName name="listado">#REF!</definedName>
    <definedName name="listados">#REF!</definedName>
    <definedName name="listaelec">#REF!</definedName>
    <definedName name="ListaItem" localSheetId="17">#REF!</definedName>
    <definedName name="ListaItem" localSheetId="18">#REF!</definedName>
    <definedName name="ListaItem" localSheetId="0">#REF!</definedName>
    <definedName name="ListaItem">#REF!</definedName>
    <definedName name="LISTAS">#REF!</definedName>
    <definedName name="ListaUni" localSheetId="0">#REF!</definedName>
    <definedName name="ListaUni">#REF!</definedName>
    <definedName name="LISTON" localSheetId="0">#REF!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KM">#REF!</definedName>
    <definedName name="LL" localSheetId="5">#REF!</definedName>
    <definedName name="LL" localSheetId="15">#REF!</definedName>
    <definedName name="LL" localSheetId="16">#REF!</definedName>
    <definedName name="LL" localSheetId="18">#REF!</definedName>
    <definedName name="LL" localSheetId="6">#REF!</definedName>
    <definedName name="LL" localSheetId="7">#REF!</definedName>
    <definedName name="LL" localSheetId="10">#REF!</definedName>
    <definedName name="LL" localSheetId="11">#REF!</definedName>
    <definedName name="LL" localSheetId="22">#REF!</definedName>
    <definedName name="LL">#REF!</definedName>
    <definedName name="LLAC12" localSheetId="0">#REF!</definedName>
    <definedName name="LLAC12">#REF!</definedName>
    <definedName name="LLAP12" localSheetId="0">#REF!</definedName>
    <definedName name="LLAP12">#REF!</definedName>
    <definedName name="LLENO">#REF!</definedName>
    <definedName name="lllllh" hidden="1">{"via1",#N/A,TRUE,"general";"via2",#N/A,TRUE,"general";"via3",#N/A,TRUE,"general"}</definedName>
    <definedName name="lllllllo" hidden="1">{"via1",#N/A,TRUE,"general";"via2",#N/A,TRUE,"general";"via3",#N/A,TRUE,"general"}</definedName>
    <definedName name="LLUVIA">#REF!</definedName>
    <definedName name="lo" localSheetId="17">#REF!</definedName>
    <definedName name="lo" localSheetId="18">#REF!</definedName>
    <definedName name="lo">#REF!</definedName>
    <definedName name="Loan_Amount">#REF!</definedName>
    <definedName name="Loan_Start">#REF!</definedName>
    <definedName name="Loan_Years">#REF!</definedName>
    <definedName name="loc">#REF!</definedName>
    <definedName name="LOCA" localSheetId="5">#REF!</definedName>
    <definedName name="LOCA" localSheetId="15">#REF!</definedName>
    <definedName name="LOCA" localSheetId="16">#REF!</definedName>
    <definedName name="LOCA" localSheetId="18">#REF!</definedName>
    <definedName name="LOCA" localSheetId="6">#REF!</definedName>
    <definedName name="LOCA" localSheetId="7">#REF!</definedName>
    <definedName name="LOCA" localSheetId="10">#REF!</definedName>
    <definedName name="LOCA" localSheetId="11">#REF!</definedName>
    <definedName name="LOCA" localSheetId="22">#REF!</definedName>
    <definedName name="LOCA">#REF!</definedName>
    <definedName name="LOGO" localSheetId="5">#REF!</definedName>
    <definedName name="LOGO" localSheetId="15">#REF!</definedName>
    <definedName name="LOGO" localSheetId="16">#REF!</definedName>
    <definedName name="LOGO" localSheetId="18">#REF!</definedName>
    <definedName name="LOGO" localSheetId="6">#REF!</definedName>
    <definedName name="LOGO" localSheetId="7">#REF!</definedName>
    <definedName name="LOGO" localSheetId="10">#REF!</definedName>
    <definedName name="LOGO" localSheetId="11">#REF!</definedName>
    <definedName name="LOGO" localSheetId="22">#REF!</definedName>
    <definedName name="LOGO">#REF!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alfs">#REF!</definedName>
    <definedName name="LongTramo">#REF!</definedName>
    <definedName name="lplpl" hidden="1">{"via1",#N/A,TRUE,"general";"via2",#N/A,TRUE,"general";"via3",#N/A,TRUE,"general"}</definedName>
    <definedName name="LUPVC" localSheetId="0">#REF!</definedName>
    <definedName name="LUPVT" localSheetId="0">#REF!</definedName>
    <definedName name="LUPVT">#REF!</definedName>
    <definedName name="m" localSheetId="17">#REF!</definedName>
    <definedName name="m" localSheetId="18">#REF!</definedName>
    <definedName name="m" localSheetId="2">#REF!</definedName>
    <definedName name="m">#REF!</definedName>
    <definedName name="M120K" localSheetId="0">#REF!</definedName>
    <definedName name="M120K">#REF!</definedName>
    <definedName name="M240K" localSheetId="0">#REF!</definedName>
    <definedName name="M280K" localSheetId="0">#REF!</definedName>
    <definedName name="MA">#REF!</definedName>
    <definedName name="mac">#REF!</definedName>
    <definedName name="MADCJ" localSheetId="0">#REF!</definedName>
    <definedName name="MADCJ">#REF!</definedName>
    <definedName name="Maderas">#REF!</definedName>
    <definedName name="mafdsf" hidden="1">{"via1",#N/A,TRUE,"general";"via2",#N/A,TRUE,"general";"via3",#N/A,TRUE,"general"}</definedName>
    <definedName name="malla">#REF!</definedName>
    <definedName name="mama" hidden="1">#REF!</definedName>
    <definedName name="MAMPOSTERIA" localSheetId="17">#REF!</definedName>
    <definedName name="MAMPOSTERIA" localSheetId="18">#REF!</definedName>
    <definedName name="MAMPOSTERIA">#REF!</definedName>
    <definedName name="Mano_de_Obra" localSheetId="17">#REF!</definedName>
    <definedName name="Mano_de_Obra" localSheetId="18">#REF!</definedName>
    <definedName name="Mano_de_Obra" localSheetId="2">#REF!</definedName>
    <definedName name="Mano_de_Obra">#REF!</definedName>
    <definedName name="MANO_OBRA">#REF!</definedName>
    <definedName name="MANOBRA">#REF!</definedName>
    <definedName name="MANODEOBRACOM">#REF!</definedName>
    <definedName name="MANOOBRA">#REF!</definedName>
    <definedName name="Mantenyreparacion">#REF!</definedName>
    <definedName name="MANTO" localSheetId="0">#REF!</definedName>
    <definedName name="MANTO">#REF!</definedName>
    <definedName name="mao" hidden="1">{"TAB1",#N/A,TRUE,"GENERAL";"TAB2",#N/A,TRUE,"GENERAL";"TAB3",#N/A,TRUE,"GENERAL";"TAB4",#N/A,TRUE,"GENERAL";"TAB5",#N/A,TRUE,"GENERAL"}</definedName>
    <definedName name="maow" hidden="1">{"via1",#N/A,TRUE,"general";"via2",#N/A,TRUE,"general";"via3",#N/A,TRUE,"general"}</definedName>
    <definedName name="Mar">#REF!</definedName>
    <definedName name="Mar_C">#REF!</definedName>
    <definedName name="MARABA" localSheetId="0">#REF!</definedName>
    <definedName name="MARABA">#REF!</definedName>
    <definedName name="MarAbr">#REF!</definedName>
    <definedName name="margen">#REF!</definedName>
    <definedName name="masor" hidden="1">{"via1",#N/A,TRUE,"general";"via2",#N/A,TRUE,"general";"via3",#N/A,TRUE,"general"}</definedName>
    <definedName name="MAT">#REF!</definedName>
    <definedName name="MATER">#REF!</definedName>
    <definedName name="MATERIAL" localSheetId="0">#REF!</definedName>
    <definedName name="Material">#REF!</definedName>
    <definedName name="Materiales" localSheetId="17">#REF!</definedName>
    <definedName name="Materiales" localSheetId="18">#REF!</definedName>
    <definedName name="MATERIALES" localSheetId="0">#REF!</definedName>
    <definedName name="Materiales" localSheetId="2">#REF!</definedName>
    <definedName name="Materiales">#REF!</definedName>
    <definedName name="MaterialTub" localSheetId="17">#REF!</definedName>
    <definedName name="MaterialTub" localSheetId="18">#REF!</definedName>
    <definedName name="MaterialTub" localSheetId="0">#REF!</definedName>
    <definedName name="MaterialTub">#REF!</definedName>
    <definedName name="MATPR" localSheetId="0">#REF!</definedName>
    <definedName name="MATPR">#REF!</definedName>
    <definedName name="matraca" localSheetId="17">#REF!</definedName>
    <definedName name="matraca" localSheetId="18">#REF!</definedName>
    <definedName name="matraca" localSheetId="2">#REF!</definedName>
    <definedName name="matraca">#REF!</definedName>
    <definedName name="matriz">#REF!,#REF!</definedName>
    <definedName name="MayJun">#REF!</definedName>
    <definedName name="MayJun_C">#REF!</definedName>
    <definedName name="MC4CM" localSheetId="0">#REF!</definedName>
    <definedName name="MC4CM">#REF!</definedName>
    <definedName name="mcb">#REF!</definedName>
    <definedName name="mcbb">#REF!</definedName>
    <definedName name="mdc2a">#REF!</definedName>
    <definedName name="mdd" hidden="1">{"via1",#N/A,TRUE,"general";"via2",#N/A,TRUE,"general";"via3",#N/A,TRUE,"general"}</definedName>
    <definedName name="med">#REF!</definedName>
    <definedName name="MediacanoaAnserma">#REF!</definedName>
    <definedName name="meg" hidden="1">{"TAB1",#N/A,TRUE,"GENERAL";"TAB2",#N/A,TRUE,"GENERAL";"TAB3",#N/A,TRUE,"GENERAL";"TAB4",#N/A,TRUE,"GENERAL";"TAB5",#N/A,TRUE,"GENERAL"}</definedName>
    <definedName name="MELECT">#REF!</definedName>
    <definedName name="MELECT84">#REF!</definedName>
    <definedName name="Memorias">#REF!</definedName>
    <definedName name="MES">#REF!</definedName>
    <definedName name="MES_COM">#REF!</definedName>
    <definedName name="MESES">#REF!</definedName>
    <definedName name="MesIn">#REF!</definedName>
    <definedName name="MEZAS">#REF!</definedName>
    <definedName name="MEZCLA">#REF!</definedName>
    <definedName name="mfgjrdt" hidden="1">{"TAB1",#N/A,TRUE,"GENERAL";"TAB2",#N/A,TRUE,"GENERAL";"TAB3",#N/A,TRUE,"GENERAL";"TAB4",#N/A,TRUE,"GENERAL";"TAB5",#N/A,TRUE,"GENERAL"}</definedName>
    <definedName name="mghm" hidden="1">{"via1",#N/A,TRUE,"general";"via2",#N/A,TRUE,"general";"via3",#N/A,TRUE,"general"}</definedName>
    <definedName name="MICROVOLC">#REF!</definedName>
    <definedName name="Mi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#REF!</definedName>
    <definedName name="MmExcelLinker_C9F63D05_8E80_41B0_8F02_A4ED3B5E1938" localSheetId="5">#N/A</definedName>
    <definedName name="MmExcelLinker_C9F63D05_8E80_41B0_8F02_A4ED3B5E1938" localSheetId="15">#N/A</definedName>
    <definedName name="MmExcelLinker_C9F63D05_8E80_41B0_8F02_A4ED3B5E1938" localSheetId="16">#N/A</definedName>
    <definedName name="MmExcelLinker_C9F63D05_8E80_41B0_8F02_A4ED3B5E1938" localSheetId="18">#N/A</definedName>
    <definedName name="MmExcelLinker_C9F63D05_8E80_41B0_8F02_A4ED3B5E1938" localSheetId="6">#N/A</definedName>
    <definedName name="MmExcelLinker_C9F63D05_8E80_41B0_8F02_A4ED3B5E1938" localSheetId="7">#N/A</definedName>
    <definedName name="MmExcelLinker_C9F63D05_8E80_41B0_8F02_A4ED3B5E1938" localSheetId="10">#N/A</definedName>
    <definedName name="MmExcelLinker_C9F63D05_8E80_41B0_8F02_A4ED3B5E1938" localSheetId="11">#N/A</definedName>
    <definedName name="MmExcelLinker_C9F63D05_8E80_41B0_8F02_A4ED3B5E1938" localSheetId="0">Mano 'CALCULO AU'!de #REF!</definedName>
    <definedName name="MmExcelLinker_C9F63D05_8E80_41B0_8F02_A4ED3B5E1938" localSheetId="22">#N/A</definedName>
    <definedName name="MmExcelLinker_C9F63D05_8E80_41B0_8F02_A4ED3B5E1938">Mano 'CALCULO AU'!de #REF!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BILIARIO_SEG_ELECTRON_ITEM" localSheetId="17">#REF!</definedName>
    <definedName name="MOBILIARIO_SEG_ELECTRON_ITEM" localSheetId="18">#REF!</definedName>
    <definedName name="MOBILIARIO_SEG_ELECTRON_ITEM">#REF!</definedName>
    <definedName name="MOBILIARIOOFIC_ITEM" localSheetId="17">#REF!</definedName>
    <definedName name="MOBILIARIOOFIC_ITEM" localSheetId="18">#REF!</definedName>
    <definedName name="MOBILIARIOOFIC_ITEM">#REF!</definedName>
    <definedName name="MOCARG" localSheetId="0">#REF!</definedName>
    <definedName name="mod" localSheetId="17">#REF!</definedName>
    <definedName name="mod" localSheetId="18">#REF!</definedName>
    <definedName name="mod" localSheetId="2">#REF!</definedName>
    <definedName name="mod">#REF!</definedName>
    <definedName name="MODIF1">#REF!</definedName>
    <definedName name="MODIF1_2">#REF!</definedName>
    <definedName name="MODIF1_7">#REF!</definedName>
    <definedName name="MOENC" localSheetId="0">#REF!</definedName>
    <definedName name="MOIHF" localSheetId="0">#REF!</definedName>
    <definedName name="MOIHF">#REF!</definedName>
    <definedName name="MOPRE" localSheetId="0">#REF!</definedName>
    <definedName name="MOPRE">#REF!</definedName>
    <definedName name="mortero" localSheetId="5">#REF!</definedName>
    <definedName name="mortero" localSheetId="15">#REF!</definedName>
    <definedName name="mortero" localSheetId="16">#REF!</definedName>
    <definedName name="mortero" localSheetId="18">#REF!</definedName>
    <definedName name="mortero" localSheetId="6">#REF!</definedName>
    <definedName name="mortero" localSheetId="7">#REF!</definedName>
    <definedName name="mortero" localSheetId="10">#REF!</definedName>
    <definedName name="mortero" localSheetId="11">#REF!</definedName>
    <definedName name="mortero" localSheetId="22">#REF!</definedName>
    <definedName name="mortero">#REF!</definedName>
    <definedName name="MOTOB2">#REF!</definedName>
    <definedName name="MOTON" localSheetId="0">#REF!</definedName>
    <definedName name="MOTOP" localSheetId="0">#REF!</definedName>
    <definedName name="MOTOP">#REF!</definedName>
    <definedName name="MOV">#REF!</definedName>
    <definedName name="MOV_TIERRA_ITEM" localSheetId="17">#REF!</definedName>
    <definedName name="MOV_TIERRA_ITEM" localSheetId="18">#REF!</definedName>
    <definedName name="MOV_TIERRA_ITEM">#REF!</definedName>
    <definedName name="MOVOL" localSheetId="0">#REF!</definedName>
    <definedName name="MUEBLES_BAÑOS_ITEM" localSheetId="17">#REF!</definedName>
    <definedName name="MUEBLES_BAÑOS_ITEM" localSheetId="18">#REF!</definedName>
    <definedName name="MUEBLES_BAÑOS_ITEM">#REF!</definedName>
    <definedName name="MUEBLES_COC_ITEM" localSheetId="17">#REF!</definedName>
    <definedName name="MUEBLES_COC_ITEM" localSheetId="18">#REF!</definedName>
    <definedName name="MUEBLES_COC_ITEM">#REF!</definedName>
    <definedName name="MUEBLES_COC_VALOR" localSheetId="17">#REF!</definedName>
    <definedName name="MUEBLES_COC_VALOR" localSheetId="18">#REF!</definedName>
    <definedName name="MUEBLES_COC_VALOR">#REF!</definedName>
    <definedName name="MUEBLES_MADERA_FIJ_ITEM" localSheetId="17">#REF!</definedName>
    <definedName name="MUEBLES_MADERA_FIJ_ITEM" localSheetId="18">#REF!</definedName>
    <definedName name="MUEBLES_MADERA_FIJ_ITEM">#REF!</definedName>
    <definedName name="MUEST">#REF!</definedName>
    <definedName name="MuestNo">#REF!</definedName>
    <definedName name="muestra">#REF!</definedName>
    <definedName name="MuestraNo">#REF!</definedName>
    <definedName name="municipio">#REF!</definedName>
    <definedName name="municipios">#REF!</definedName>
    <definedName name="Muros">#REF!</definedName>
    <definedName name="MUROS_BLOQ_PLOMO_ITEM" localSheetId="17">#REF!</definedName>
    <definedName name="MUROS_BLOQ_PLOMO_ITEM" localSheetId="18">#REF!</definedName>
    <definedName name="MUROS_BLOQ_PLOMO_ITEM">#REF!</definedName>
    <definedName name="MUROS_BLOQ_PLOMO_VALOR">#REF!</definedName>
    <definedName name="MYC_DRYWALLITEM" localSheetId="17">#REF!,#REF!,#REF!</definedName>
    <definedName name="MYC_DRYWALLITEM" localSheetId="18">#REF!,#REF!,#REF!</definedName>
    <definedName name="MYC_DRYWALLITEM">#REF!,#REF!,#REF!</definedName>
    <definedName name="MYCIELOS_DRYWALLVALOR" localSheetId="17">#REF!</definedName>
    <definedName name="MYCIELOS_DRYWALLVALOR" localSheetId="18">#REF!</definedName>
    <definedName name="MYCIELOS_DRYWALLVALOR">#REF!</definedName>
    <definedName name="MYPUERTAS_MAD_ITEM" localSheetId="17">#REF!</definedName>
    <definedName name="MYPUERTAS_MAD_ITEM" localSheetId="18">#REF!</definedName>
    <definedName name="MYPUERTAS_MAD_ITEM">#REF!</definedName>
    <definedName name="MYPUERTAS_MET_ITEM" localSheetId="17">#REF!</definedName>
    <definedName name="MYPUERTAS_MET_ITEM" localSheetId="18">#REF!</definedName>
    <definedName name="MYPUERTAS_MET_ITEM">#REF!</definedName>
    <definedName name="n" localSheetId="17">#REF!</definedName>
    <definedName name="n" localSheetId="18">#REF!</definedName>
    <definedName name="n" localSheetId="0" hidden="1">{"via1",#N/A,TRUE,"general";"via2",#N/A,TRUE,"general";"via3",#N/A,TRUE,"general"}</definedName>
    <definedName name="n" localSheetId="2">#REF!</definedName>
    <definedName name="n">#REF!</definedName>
    <definedName name="N_metal">#REF!</definedName>
    <definedName name="NB">#REF!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VTUB">#REF!</definedName>
    <definedName name="nm" localSheetId="17">#REF!</definedName>
    <definedName name="nm" localSheetId="18">#REF!</definedName>
    <definedName name="nm" localSheetId="2">#REF!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5">#REF!</definedName>
    <definedName name="NO" localSheetId="15">#REF!</definedName>
    <definedName name="NO" localSheetId="16">#REF!</definedName>
    <definedName name="NO" localSheetId="18">#REF!</definedName>
    <definedName name="NO" localSheetId="6">#REF!</definedName>
    <definedName name="NO" localSheetId="7">#REF!</definedName>
    <definedName name="NO" localSheetId="10">#REF!</definedName>
    <definedName name="NO" localSheetId="11">#REF!</definedName>
    <definedName name="NO" localSheetId="22">#REF!</definedName>
    <definedName name="NO">#REF!</definedName>
    <definedName name="nombre" localSheetId="17">#REF!</definedName>
    <definedName name="nombre" localSheetId="18">#REF!</definedName>
    <definedName name="NOMBRE" localSheetId="0">#REF!</definedName>
    <definedName name="nombre">#REF!</definedName>
    <definedName name="Norte" localSheetId="17">#REF!</definedName>
    <definedName name="Norte" localSheetId="18">#REF!</definedName>
    <definedName name="Norte" localSheetId="0">#REF!</definedName>
    <definedName name="Norte">#REF!</definedName>
    <definedName name="NovDic">#REF!</definedName>
    <definedName name="NUCLEO">#REF!</definedName>
    <definedName name="NUCNUM">#REF!</definedName>
    <definedName name="NUEVO" localSheetId="17">#REF!</definedName>
    <definedName name="NUEVO" localSheetId="18">#REF!</definedName>
    <definedName name="NUEVO" localSheetId="0">#REF!</definedName>
    <definedName name="NUEVO">#REF!</definedName>
    <definedName name="NÚM">#REF!</definedName>
    <definedName name="Num_Pmt_Per_Year">#REF!</definedName>
    <definedName name="Number_of_Payments">MATCH(0.01,End_Bal,-1)+1</definedName>
    <definedName name="NUMERAL">#REF!</definedName>
    <definedName name="NÚMERO">#REF!</definedName>
    <definedName name="nxn" hidden="1">{"via1",#N/A,TRUE,"general";"via2",#N/A,TRUE,"general";"via3",#N/A,TRUE,"general"}</definedName>
    <definedName name="Ñ" localSheetId="17">#REF!</definedName>
    <definedName name="Ñ" localSheetId="18">#REF!</definedName>
    <definedName name="Ñ" localSheetId="2">#REF!</definedName>
    <definedName name="Ñ">#REF!</definedName>
    <definedName name="ññ" localSheetId="17">#REF!</definedName>
    <definedName name="ññ" localSheetId="18">#REF!</definedName>
    <definedName name="ÑÑ" localSheetId="0">#REF!</definedName>
    <definedName name="ññ" localSheetId="2">#REF!</definedName>
    <definedName name="ññ">#REF!</definedName>
    <definedName name="ñññññññ" localSheetId="17">#REF!</definedName>
    <definedName name="ñññññññ" localSheetId="18">#REF!</definedName>
    <definedName name="ñññññññ" localSheetId="2">#REF!</definedName>
    <definedName name="ñññññññ">#REF!</definedName>
    <definedName name="ññññññññ" localSheetId="17">#REF!</definedName>
    <definedName name="ññññññññ" localSheetId="18">#REF!</definedName>
    <definedName name="ññññññññ" localSheetId="2">#REF!</definedName>
    <definedName name="ññññññññ">#REF!</definedName>
    <definedName name="ññññññññññññññ" localSheetId="17">#REF!</definedName>
    <definedName name="ññññññññññññññ" localSheetId="18">#REF!</definedName>
    <definedName name="ññññññññññññññ" localSheetId="2">#REF!</definedName>
    <definedName name="ññññññññññññññ">#REF!</definedName>
    <definedName name="ñññññññññññññññ" localSheetId="17">#REF!</definedName>
    <definedName name="ñññññññññññññññ" localSheetId="18">#REF!</definedName>
    <definedName name="ñññññññññññññññ" localSheetId="2">#REF!</definedName>
    <definedName name="ñññññññññññññññ">#REF!</definedName>
    <definedName name="ñññññññññññññññññññññññ" localSheetId="17">#REF!</definedName>
    <definedName name="ñññññññññññññññññññññññ" localSheetId="18">#REF!</definedName>
    <definedName name="ñññññññññññññññññññññññ" localSheetId="2">#REF!</definedName>
    <definedName name="ñññññññññññññññññññññññ">#REF!</definedName>
    <definedName name="ññññññññññññññññññññññññññññ" localSheetId="17">#REF!</definedName>
    <definedName name="ññññññññññññññññññññññññññññ" localSheetId="18">#REF!</definedName>
    <definedName name="ññññññññññññññññññññññññññññ" localSheetId="2">#REF!</definedName>
    <definedName name="ññññññññññññññññññññññññññññ">#REF!</definedName>
    <definedName name="ñpñpñ" hidden="1">{"via1",#N/A,TRUE,"general";"via2",#N/A,TRUE,"general";"via3",#N/A,TRUE,"general"}</definedName>
    <definedName name="o9o9" hidden="1">{"via1",#N/A,TRUE,"general";"via2",#N/A,TRUE,"general";"via3",#N/A,TRUE,"general"}</definedName>
    <definedName name="Objeto">#REF!</definedName>
    <definedName name="OBRA" localSheetId="17">#REF!</definedName>
    <definedName name="OBRA" localSheetId="18">#REF!</definedName>
    <definedName name="obra" localSheetId="0">#REF!</definedName>
    <definedName name="OBRA">#REF!</definedName>
    <definedName name="OBRAS_CIVILES" localSheetId="17">#REF!</definedName>
    <definedName name="OBRAS_CIVILES" localSheetId="18">#REF!</definedName>
    <definedName name="OBRAS_CIVILES" localSheetId="2">#REF!</definedName>
    <definedName name="OBRAS_CIVILES">#REF!</definedName>
    <definedName name="obre">#REF!</definedName>
    <definedName name="OBSERV">#REF!</definedName>
    <definedName name="observaciones">#REF!</definedName>
    <definedName name="ofi">#REF!</definedName>
    <definedName name="OFICI" localSheetId="0">#REF!</definedName>
    <definedName name="OFICI">#REF!</definedName>
    <definedName name="OFICI_">#REF!</definedName>
    <definedName name="ofici1">#REF!</definedName>
    <definedName name="OFICINAS" localSheetId="17">#REF!</definedName>
    <definedName name="OFICINAS" localSheetId="18">#REF!</definedName>
    <definedName name="OFICINAS" localSheetId="2">#REF!</definedName>
    <definedName name="OFICINAS">#REF!</definedName>
    <definedName name="OFICINAS1" localSheetId="17">#REF!</definedName>
    <definedName name="OFICINAS1" localSheetId="18">#REF!</definedName>
    <definedName name="OFICINAS1" localSheetId="2">#REF!</definedName>
    <definedName name="OFICINAS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#REF!</definedName>
    <definedName name="otrocd">#REF!</definedName>
    <definedName name="otroci">#REF!</definedName>
    <definedName name="otroimprev">#REF!</definedName>
    <definedName name="otros">#REF!</definedName>
    <definedName name="p" localSheetId="17">#REF!</definedName>
    <definedName name="p" localSheetId="18">#REF!</definedName>
    <definedName name="p" localSheetId="2">#REF!</definedName>
    <definedName name="p">#REF!</definedName>
    <definedName name="p0p0" hidden="1">{"via1",#N/A,TRUE,"general";"via2",#N/A,TRUE,"general";"via3",#N/A,TRUE,"general"}</definedName>
    <definedName name="P150X240" localSheetId="0">#REF!</definedName>
    <definedName name="P150X240">#REF!</definedName>
    <definedName name="P80X200">#REF!</definedName>
    <definedName name="P90X200">#REF!</definedName>
    <definedName name="PA14X" localSheetId="0">#REF!</definedName>
    <definedName name="PA14X">#REF!</definedName>
    <definedName name="paelnque" localSheetId="17">#REF!</definedName>
    <definedName name="paelnque" localSheetId="18">#REF!</definedName>
    <definedName name="paelnque">#REF!</definedName>
    <definedName name="PÁGINA_DOS">#REF!</definedName>
    <definedName name="PÁGINA_UNO">#REF!</definedName>
    <definedName name="palenque" localSheetId="17">#REF!</definedName>
    <definedName name="palenque" localSheetId="18">#REF!</definedName>
    <definedName name="palenque">#REF!</definedName>
    <definedName name="PANEL_SOLARITEM" localSheetId="17">#REF!</definedName>
    <definedName name="PANEL_SOLARITEM" localSheetId="18">#REF!</definedName>
    <definedName name="PANEL_SOLARITEM">#REF!</definedName>
    <definedName name="Pant_NC">#REF!</definedName>
    <definedName name="par">#REF!</definedName>
    <definedName name="PARAFINA">#REF!</definedName>
    <definedName name="PARCIAL" localSheetId="17">#REF!</definedName>
    <definedName name="PARCIAL" localSheetId="18">#REF!</definedName>
    <definedName name="PARCIAL" localSheetId="2">#REF!</definedName>
    <definedName name="PARCIAL">#REF!</definedName>
    <definedName name="PAROUE_CENTENARIO_MUNICIPIO_DE_TAURAMENA">#REF!</definedName>
    <definedName name="pasav">#REF!</definedName>
    <definedName name="Pay_Date">#REF!</definedName>
    <definedName name="Pay_Num">#REF!</definedName>
    <definedName name="Payment_Date" localSheetId="5">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8">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22">DATE(YEAR([0]!Loan_Start),MONTH([0]!Loan_Start)+Payment_Number,DAY([0]!Loan_Start))</definedName>
    <definedName name="Payment_Date">DATE(YEAR(Loan_Start),MONTH(Loan_Start)+Payment_Number,DAY(Loan_Start))</definedName>
    <definedName name="Payment_Needed">"Pago necesario"</definedName>
    <definedName name="pe" localSheetId="17">#REF!</definedName>
    <definedName name="pe" localSheetId="18">#REF!</definedName>
    <definedName name="pe" localSheetId="2">#REF!</definedName>
    <definedName name="pe">#REF!</definedName>
    <definedName name="pedro">#REF!</definedName>
    <definedName name="PEGCO" localSheetId="0">#REF!</definedName>
    <definedName name="PEGCO">#REF!</definedName>
    <definedName name="PelaFelipe" localSheetId="17">#REF!</definedName>
    <definedName name="PelaFelipe" localSheetId="18">#REF!</definedName>
    <definedName name="PelaFelipe">#REF!</definedName>
    <definedName name="PER_PAV">#REF!</definedName>
    <definedName name="PERNO" localSheetId="0">#REF!</definedName>
    <definedName name="PERNO">#REF!</definedName>
    <definedName name="perro" localSheetId="17">#REF!</definedName>
    <definedName name="perro" localSheetId="18">#REF!</definedName>
    <definedName name="perro" localSheetId="2">#REF!</definedName>
    <definedName name="perro">#REF!</definedName>
    <definedName name="Personal">#REF!</definedName>
    <definedName name="PESO" localSheetId="17">#REF!</definedName>
    <definedName name="PESO" localSheetId="18">#REF!</definedName>
    <definedName name="PESO" localSheetId="2">#REF!</definedName>
    <definedName name="PESO">#REF!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ESOS" localSheetId="17">#REF!</definedName>
    <definedName name="PESOS" localSheetId="18">#REF!</definedName>
    <definedName name="PESOS" localSheetId="2">#REF!</definedName>
    <definedName name="PESOS">#REF!</definedName>
    <definedName name="pi" localSheetId="17">#REF!</definedName>
    <definedName name="pi" localSheetId="18">#REF!</definedName>
    <definedName name="pi" localSheetId="2">#REF!</definedName>
    <definedName name="pi">#REF!</definedName>
    <definedName name="PIE4A6" localSheetId="0">#REF!</definedName>
    <definedName name="PIECR" localSheetId="0">#REF!</definedName>
    <definedName name="pied">#REF!</definedName>
    <definedName name="PIEDR" localSheetId="0">#REF!</definedName>
    <definedName name="PIEDR">#REF!</definedName>
    <definedName name="piedragav">#REF!</definedName>
    <definedName name="Pin">#REF!</definedName>
    <definedName name="PINBAR" localSheetId="0">#REF!</definedName>
    <definedName name="PINBAR">#REF!</definedName>
    <definedName name="PINBLA" localSheetId="0">#REF!</definedName>
    <definedName name="PINBLA">#REF!</definedName>
    <definedName name="pint">#REF!</definedName>
    <definedName name="PINT_EXT_ITEM" localSheetId="17">#REF!</definedName>
    <definedName name="PINT_EXT_ITEM" localSheetId="18">#REF!</definedName>
    <definedName name="PINT_EXT_ITEM">#REF!</definedName>
    <definedName name="Pinturas">#REF!</definedName>
    <definedName name="PISOS_CONC_ESP_PUBL_ITEM" localSheetId="17">#REF!,#REF!,#REF!,#REF!,#REF!,#REF!,#REF!</definedName>
    <definedName name="PISOS_CONC_ESP_PUBL_ITEM" localSheetId="18">#REF!,#REF!,#REF!,#REF!,#REF!,#REF!,#REF!</definedName>
    <definedName name="PISOS_CONC_ESP_PUBL_ITEM">#REF!,#REF!,#REF!,#REF!,#REF!,#REF!,#REF!</definedName>
    <definedName name="PISOS_CONC_ESP_PUBL_VALOR">#REF!,#REF!,#REF!,#REF!,#REF!</definedName>
    <definedName name="PISOS_CONC_GRAN_ITEM" localSheetId="17">#REF!,#REF!,#REF!</definedName>
    <definedName name="PISOS_CONC_GRAN_ITEM" localSheetId="18">#REF!,#REF!,#REF!</definedName>
    <definedName name="PISOS_CONC_GRAN_ITEM">#REF!,#REF!,#REF!</definedName>
    <definedName name="PISOS_CONC_GRAN_VALOR">#REF!,#REF!</definedName>
    <definedName name="PisosEnchapes">#REF!</definedName>
    <definedName name="pkgl" localSheetId="17">#REF!</definedName>
    <definedName name="pkgl" localSheetId="18">#REF!</definedName>
    <definedName name="pkgl">#REF!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ELE" localSheetId="0">#REF!</definedName>
    <definedName name="plan">#REF!</definedName>
    <definedName name="planta">#REF!</definedName>
    <definedName name="PLAST" localSheetId="0">#REF!</definedName>
    <definedName name="PLAST">#REF!</definedName>
    <definedName name="Plaz">#REF!</definedName>
    <definedName name="PlazAIU">#REF!</definedName>
    <definedName name="PLAZO">'15. ANEXO SST-PMT-PMA'!$D$12</definedName>
    <definedName name="PlazoAIU">#REF!</definedName>
    <definedName name="plena">#REF!</definedName>
    <definedName name="PLPLUNN" hidden="1">{"TAB1",#N/A,TRUE,"GENERAL";"TAB2",#N/A,TRUE,"GENERAL";"TAB3",#N/A,TRUE,"GENERAL";"TAB4",#N/A,TRUE,"GENERAL";"TAB5",#N/A,TRUE,"GENERAL"}</definedName>
    <definedName name="po" localSheetId="17">#REF!</definedName>
    <definedName name="po" localSheetId="18">#REF!</definedName>
    <definedName name="PO" localSheetId="0">#REF!</definedName>
    <definedName name="po" localSheetId="2">#REF!</definedName>
    <definedName name="po">#REF!</definedName>
    <definedName name="POIUP" hidden="1">{"via1",#N/A,TRUE,"general";"via2",#N/A,TRUE,"general";"via3",#N/A,TRUE,"general"}</definedName>
    <definedName name="PoliductoPrinco">#REF!</definedName>
    <definedName name="pomch">#REF!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#REF!</definedName>
    <definedName name="Porcentaje_Arrendamiento" localSheetId="17">#REF!</definedName>
    <definedName name="Porcentaje_Arrendamiento" localSheetId="18">#REF!</definedName>
    <definedName name="Porcentaje_Arrendamiento" localSheetId="2">#REF!</definedName>
    <definedName name="Porcentaje_Arrendamiento">#REF!</definedName>
    <definedName name="Porcentaje_Arrendamiento_Terceros" localSheetId="17">#REF!</definedName>
    <definedName name="Porcentaje_Arrendamiento_Terceros" localSheetId="18">#REF!</definedName>
    <definedName name="Porcentaje_Arrendamiento_Terceros" localSheetId="2">#REF!</definedName>
    <definedName name="Porcentaje_Arrendamiento_Terceros">#REF!</definedName>
    <definedName name="Porcentaje_Aumento" localSheetId="17">#REF!</definedName>
    <definedName name="Porcentaje_Aumento" localSheetId="18">#REF!</definedName>
    <definedName name="Porcentaje_Aumento" localSheetId="2">#REF!</definedName>
    <definedName name="Porcentaje_Aumento">#REF!</definedName>
    <definedName name="Porcentaje_Aumento_real" localSheetId="17">#REF!</definedName>
    <definedName name="Porcentaje_Aumento_real" localSheetId="18">#REF!</definedName>
    <definedName name="Porcentaje_Aumento_real" localSheetId="2">#REF!</definedName>
    <definedName name="Porcentaje_Aumento_real">#REF!</definedName>
    <definedName name="Porcentaje_Inversión" localSheetId="17">#REF!</definedName>
    <definedName name="Porcentaje_Inversión" localSheetId="18">#REF!</definedName>
    <definedName name="Porcentaje_Inversión" localSheetId="2">#REF!</definedName>
    <definedName name="Porcentaje_Inversión">#REF!</definedName>
    <definedName name="pos">#REF!</definedName>
    <definedName name="post">#REF!</definedName>
    <definedName name="poste">#REF!</definedName>
    <definedName name="pouig" hidden="1">{"via1",#N/A,TRUE,"general";"via2",#N/A,TRUE,"general";"via3",#N/A,TRUE,"general"}</definedName>
    <definedName name="POZ">#REF!</definedName>
    <definedName name="POZO">#REF!</definedName>
    <definedName name="POZO1.2">#REF!</definedName>
    <definedName name="POZOS">#REF!</definedName>
    <definedName name="POZOS_CAJAS_SUM_ITEM" localSheetId="17">#REF!</definedName>
    <definedName name="POZOS_CAJAS_SUM_ITEM" localSheetId="18">#REF!</definedName>
    <definedName name="POZOS_CAJAS_SUM_ITEM">#REF!</definedName>
    <definedName name="ppp" localSheetId="17">#REF!</definedName>
    <definedName name="ppp" localSheetId="18">#REF!</definedName>
    <definedName name="ppp" localSheetId="2">#REF!</definedName>
    <definedName name="ppp">#REF!</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 localSheetId="17">#REF!</definedName>
    <definedName name="PPtoNorte" localSheetId="18">#REF!</definedName>
    <definedName name="PPtoNorte" localSheetId="0">#REF!</definedName>
    <definedName name="PPtoNorte">#REF!</definedName>
    <definedName name="pqroj" hidden="1">{"via1",#N/A,TRUE,"general";"via2",#N/A,TRUE,"general";"via3",#N/A,TRUE,"general"}</definedName>
    <definedName name="pre" localSheetId="0">#REF!</definedName>
    <definedName name="PRE">#REF!</definedName>
    <definedName name="PRECIO" localSheetId="0">#REF!</definedName>
    <definedName name="PRECIO">#REF!</definedName>
    <definedName name="precio2" localSheetId="17">#REF!</definedName>
    <definedName name="precio2" localSheetId="18">#REF!</definedName>
    <definedName name="precio2" localSheetId="0">#REF!</definedName>
    <definedName name="precio2">#REF!</definedName>
    <definedName name="PrecioS" localSheetId="0">#REF!</definedName>
    <definedName name="PRECIOS">#REF!</definedName>
    <definedName name="Prefabricados">#REF!</definedName>
    <definedName name="PREL">#REF!</definedName>
    <definedName name="PRELIM_ITEM" localSheetId="17">#REF!</definedName>
    <definedName name="PRELIM_ITEM" localSheetId="18">#REF!</definedName>
    <definedName name="PRELIM_ITEM">#REF!</definedName>
    <definedName name="preliminares" localSheetId="17">#REF!</definedName>
    <definedName name="preliminares" localSheetId="18">#REF!</definedName>
    <definedName name="preliminares">#REF!</definedName>
    <definedName name="preliminares1" localSheetId="17">#REF!</definedName>
    <definedName name="preliminares1" localSheetId="18">#REF!</definedName>
    <definedName name="preliminares1">#REF!</definedName>
    <definedName name="PRESTA" localSheetId="0">#REF!</definedName>
    <definedName name="PRESTA">#REF!</definedName>
    <definedName name="Prestaciones" localSheetId="0">#REF!</definedName>
    <definedName name="PRESTACIONES">#REF!</definedName>
    <definedName name="Prestaciones_sociales">#REF!</definedName>
    <definedName name="PRESUP">#REF!</definedName>
    <definedName name="PRESUPNORTE">#REF!</definedName>
    <definedName name="PRESUPSUR">#REF!</definedName>
    <definedName name="PRESUPUESTO">#REF!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#N/A</definedName>
    <definedName name="Print_Area_Reset">OFFSET(Full_Print,0,0,Last_Row)</definedName>
    <definedName name="PRINT_TITLES">#N/A</definedName>
    <definedName name="PRINT_TITLES_MI">#N/A</definedName>
    <definedName name="procelec">#REF!</definedName>
    <definedName name="PRODUCTCARB">#REF!</definedName>
    <definedName name="PRODUCTEST">#REF!</definedName>
    <definedName name="PRODUCTOCARBON">#REF!</definedName>
    <definedName name="PRODUCTOTEST">#REF!</definedName>
    <definedName name="PrOfic">#REF!</definedName>
    <definedName name="programa">#REF!</definedName>
    <definedName name="programainv" localSheetId="5">#REF!</definedName>
    <definedName name="programainv" localSheetId="15">#REF!</definedName>
    <definedName name="programainv" localSheetId="16">#REF!</definedName>
    <definedName name="programainv" localSheetId="18">#REF!</definedName>
    <definedName name="programainv" localSheetId="6">#REF!</definedName>
    <definedName name="programainv" localSheetId="7">#REF!</definedName>
    <definedName name="programainv" localSheetId="10">#REF!</definedName>
    <definedName name="programainv" localSheetId="11">#REF!</definedName>
    <definedName name="programainv" localSheetId="22">#REF!</definedName>
    <definedName name="programainv">#REF!</definedName>
    <definedName name="programas">#REF!</definedName>
    <definedName name="propiedad">#REF!</definedName>
    <definedName name="propieRep">#REF!</definedName>
    <definedName name="PROPONENTE">#REF!</definedName>
    <definedName name="proyectos">#REF!</definedName>
    <definedName name="prueba">#REF!</definedName>
    <definedName name="prueba1" localSheetId="5">#REF!</definedName>
    <definedName name="prueba1" localSheetId="15">#REF!</definedName>
    <definedName name="prueba1" localSheetId="16">#REF!</definedName>
    <definedName name="prueba1" localSheetId="18">#REF!</definedName>
    <definedName name="prueba1" localSheetId="6">#REF!</definedName>
    <definedName name="prueba1" localSheetId="7">#REF!</definedName>
    <definedName name="prueba1" localSheetId="10">#REF!</definedName>
    <definedName name="prueba1" localSheetId="11">#REF!</definedName>
    <definedName name="prueba1" localSheetId="22">#REF!</definedName>
    <definedName name="prueba1">#REF!</definedName>
    <definedName name="PRUEBA2">#REF!</definedName>
    <definedName name="PRUNIT">#REF!</definedName>
    <definedName name="PTO">#REF!</definedName>
    <definedName name="ptope" hidden="1">{"TAB1",#N/A,TRUE,"GENERAL";"TAB2",#N/A,TRUE,"GENERAL";"TAB3",#N/A,TRUE,"GENERAL";"TAB4",#N/A,TRUE,"GENERAL";"TAB5",#N/A,TRUE,"GENERAL"}</definedName>
    <definedName name="ptopes" hidden="1">{"via1",#N/A,TRUE,"general";"via2",#N/A,TRUE,"general";"via3",#N/A,TRUE,"general"}</definedName>
    <definedName name="pu" localSheetId="17">#REF!</definedName>
    <definedName name="pu" localSheetId="18">#REF!</definedName>
    <definedName name="pu">#REF!</definedName>
    <definedName name="PUERTAS_ESP_ITEM" localSheetId="17">#REF!</definedName>
    <definedName name="PUERTAS_ESP_ITEM" localSheetId="18">#REF!</definedName>
    <definedName name="PUERTAS_ESP_ITEM">#REF!</definedName>
    <definedName name="PUNT1">#REF!</definedName>
    <definedName name="PUNT2">#REF!</definedName>
    <definedName name="PUNTI" localSheetId="0">#REF!</definedName>
    <definedName name="PUNTI">#REF!</definedName>
    <definedName name="PURGA">#REF!</definedName>
    <definedName name="PVIDRIERAS_ITEM" localSheetId="17">#REF!</definedName>
    <definedName name="PVIDRIERAS_ITEM" localSheetId="18">#REF!</definedName>
    <definedName name="PVIDRIERAS_ITEM">#REF!</definedName>
    <definedName name="q" localSheetId="14" hidden="1">{"via1",#N/A,TRUE,"general";"via2",#N/A,TRUE,"general";"via3",#N/A,TRUE,"general"}</definedName>
    <definedName name="Q" localSheetId="17">#REF!</definedName>
    <definedName name="Q" localSheetId="18">#REF!</definedName>
    <definedName name="q" localSheetId="9" hidden="1">{"via1",#N/A,TRUE,"general";"via2",#N/A,TRUE,"general";"via3",#N/A,TRUE,"general"}</definedName>
    <definedName name="q" localSheetId="11" hidden="1">{"via1",#N/A,TRUE,"general";"via2",#N/A,TRUE,"general";"via3",#N/A,TRUE,"general"}</definedName>
    <definedName name="q" localSheetId="13" hidden="1">{"via1",#N/A,TRUE,"general";"via2",#N/A,TRUE,"general";"via3",#N/A,TRUE,"general"}</definedName>
    <definedName name="q" localSheetId="20" hidden="1">{"via1",#N/A,TRUE,"general";"via2",#N/A,TRUE,"general";"via3",#N/A,TRUE,"general"}</definedName>
    <definedName name="q" localSheetId="0" hidden="1">{"via1",#N/A,TRUE,"general";"via2",#N/A,TRUE,"general";"via3",#N/A,TRUE,"general"}</definedName>
    <definedName name="q" localSheetId="22" hidden="1">{"via1",#N/A,TRUE,"general";"via2",#N/A,TRUE,"general";"via3",#N/A,TRUE,"general"}</definedName>
    <definedName name="q" localSheetId="21" hidden="1">{"via1",#N/A,TRUE,"general";"via2",#N/A,TRUE,"general";"via3",#N/A,TRUE,"general"}</definedName>
    <definedName name="Q" localSheetId="2">#REF!</definedName>
    <definedName name="Q">#REF!</definedName>
    <definedName name="Q__m³_s">#REF!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 localSheetId="17">#REF!</definedName>
    <definedName name="QQ" localSheetId="18">#REF!</definedName>
    <definedName name="QQ" localSheetId="0">#REF!</definedName>
    <definedName name="QQ" localSheetId="2">#REF!</definedName>
    <definedName name="QQ">#REF!</definedName>
    <definedName name="QQQ" localSheetId="17">#REF!</definedName>
    <definedName name="QQQ" localSheetId="18">#REF!</definedName>
    <definedName name="QQQ" localSheetId="2">#REF!</definedName>
    <definedName name="QQQ">#REF!</definedName>
    <definedName name="qqqq" localSheetId="17">#REF!</definedName>
    <definedName name="qqqq" localSheetId="18">#REF!</definedName>
    <definedName name="qqqq" localSheetId="2">#REF!</definedName>
    <definedName name="qqqq">#REF!</definedName>
    <definedName name="QQQQQ" localSheetId="17">#REF!</definedName>
    <definedName name="QQQQQ" localSheetId="18">#REF!</definedName>
    <definedName name="QQQQQ" localSheetId="2">#REF!</definedName>
    <definedName name="QQQQQ">#REF!</definedName>
    <definedName name="QQQQQQQ" localSheetId="17">#REF!</definedName>
    <definedName name="QQQQQQQ" localSheetId="18">#REF!</definedName>
    <definedName name="QQQQQQQ" localSheetId="2">#REF!</definedName>
    <definedName name="QQQQQQQ">#REF!</definedName>
    <definedName name="QQQQQQQQ" localSheetId="17">#REF!</definedName>
    <definedName name="QQQQQQQQ" localSheetId="18">#REF!</definedName>
    <definedName name="QQQQQQQQ" localSheetId="2">#REF!</definedName>
    <definedName name="QQQQQQQQ">#REF!</definedName>
    <definedName name="QQQQQQQQQQ" localSheetId="17">#REF!</definedName>
    <definedName name="QQQQQQQQQQ" localSheetId="18">#REF!</definedName>
    <definedName name="QQQQQQQQQQ" localSheetId="2">#REF!</definedName>
    <definedName name="QQQQQQQQQQ">#REF!</definedName>
    <definedName name="QQQQQQQQQQQQQ" localSheetId="17">#REF!</definedName>
    <definedName name="QQQQQQQQQQQQQ" localSheetId="18">#REF!</definedName>
    <definedName name="QQQQQQQQQQQQQ" localSheetId="2">#REF!</definedName>
    <definedName name="QQQQQQQQQQQQQ">#REF!</definedName>
    <definedName name="QQQQQQQQQQQQQQ" localSheetId="17">#REF!</definedName>
    <definedName name="QQQQQQQQQQQQQQ" localSheetId="18">#REF!</definedName>
    <definedName name="QQQQQQQQQQQQQQ" localSheetId="2">#REF!</definedName>
    <definedName name="QQQQQQQQQQQQQQ">#REF!</definedName>
    <definedName name="QQQQQQQQQQQQQQQQ" localSheetId="17">#REF!</definedName>
    <definedName name="QQQQQQQQQQQQQQQQ" localSheetId="18">#REF!</definedName>
    <definedName name="QQQQQQQQQQQQQQQQ" localSheetId="2">#REF!</definedName>
    <definedName name="QQQQQQQQQQQQQQQQ">#REF!</definedName>
    <definedName name="QQQQQQQQQQQQQQQQQ" localSheetId="17">#REF!</definedName>
    <definedName name="QQQQQQQQQQQQQQQQQ" localSheetId="18">#REF!</definedName>
    <definedName name="QQQQQQQQQQQQQQQQQ" localSheetId="2">#REF!</definedName>
    <definedName name="QQQQQQQQQQQQQQQQQ">#REF!</definedName>
    <definedName name="QQQQQQQQQQQQQQQQQQ" localSheetId="17">#REF!</definedName>
    <definedName name="QQQQQQQQQQQQQQQQQQ" localSheetId="18">#REF!</definedName>
    <definedName name="QQQQQQQQQQQQQQQQQQ" localSheetId="2">#REF!</definedName>
    <definedName name="QQQQQQQQQQQQQQQQQQ">#REF!</definedName>
    <definedName name="QQQQQQQQQQQQQQQQQQQ" localSheetId="17">#REF!</definedName>
    <definedName name="QQQQQQQQQQQQQQQQQQQ" localSheetId="18">#REF!</definedName>
    <definedName name="QQQQQQQQQQQQQQQQQQQ" localSheetId="2">#REF!</definedName>
    <definedName name="QQQQQQQQQQQQQQQQQQQ">#REF!</definedName>
    <definedName name="QQQQQQQQQQQQQQQQQQQQQ" localSheetId="17">#REF!</definedName>
    <definedName name="QQQQQQQQQQQQQQQQQQQQQ" localSheetId="18">#REF!</definedName>
    <definedName name="QQQQQQQQQQQQQQQQQQQQQ" localSheetId="2">#REF!</definedName>
    <definedName name="QQQQQQQQQQQQQQQQQQQQQ">#REF!</definedName>
    <definedName name="QQQQQQQQQQQQQQQQQQQQQQ" localSheetId="17">#REF!</definedName>
    <definedName name="QQQQQQQQQQQQQQQQQQQQQQ" localSheetId="18">#REF!</definedName>
    <definedName name="QQQQQQQQQQQQQQQQQQQQQQ" localSheetId="2">#REF!</definedName>
    <definedName name="QQQQQQQQQQQQQQQQQQQQQQ">#REF!</definedName>
    <definedName name="QQQQQQQQQQQQQQQQQQQQQQQQQQ" localSheetId="17">#REF!</definedName>
    <definedName name="QQQQQQQQQQQQQQQQQQQQQQQQQQ" localSheetId="18">#REF!</definedName>
    <definedName name="QQQQQQQQQQQQQQQQQQQQQQQQQQ" localSheetId="2">#REF!</definedName>
    <definedName name="QQQQQQQQQQQQQQQQQQQQQQQQQQ">#REF!</definedName>
    <definedName name="qqqqqw" hidden="1">{"via1",#N/A,TRUE,"general";"via2",#N/A,TRUE,"general";"via3",#N/A,TRUE,"general"}</definedName>
    <definedName name="qu" localSheetId="17">#REF!</definedName>
    <definedName name="qu" localSheetId="18">#REF!</definedName>
    <definedName name="qu" localSheetId="2">#REF!</definedName>
    <definedName name="qu">#REF!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qweqwe">#REF!</definedName>
    <definedName name="qwqwqwj" hidden="1">{"TAB1",#N/A,TRUE,"GENERAL";"TAB2",#N/A,TRUE,"GENERAL";"TAB3",#N/A,TRUE,"GENERAL";"TAB4",#N/A,TRUE,"GENERAL";"TAB5",#N/A,TRUE,"GENERAL"}</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a">#REF!</definedName>
    <definedName name="rack">#REF!</definedName>
    <definedName name="RACK1">#REF!</definedName>
    <definedName name="racks">#REF!</definedName>
    <definedName name="RANGO1">#REF!</definedName>
    <definedName name="rangofin">#REF!,#REF!</definedName>
    <definedName name="RASF">#REF!</definedName>
    <definedName name="RE4NTA">#REF!</definedName>
    <definedName name="RECCC">#REF!</definedName>
    <definedName name="RECUBRIM_ESP_ITEM" localSheetId="17">#REF!</definedName>
    <definedName name="RECUBRIM_ESP_ITEM" localSheetId="18">#REF!</definedName>
    <definedName name="RECUBRIM_ESP_ITEM">#REF!</definedName>
    <definedName name="RECURSOS">#REF!</definedName>
    <definedName name="RED_ELÉCTRICA_NORMAL_E_ILUMINACIÓN" localSheetId="17">#REF!</definedName>
    <definedName name="RED_ELÉCTRICA_NORMAL_E_ILUMINACIÓN" localSheetId="18">#REF!</definedName>
    <definedName name="RED_ELÉCTRICA_NORMAL_E_ILUMINACIÓN" localSheetId="2">#REF!</definedName>
    <definedName name="RED_ELÉCTRICA_NORMAL_E_ILUMINACIÓN">#REF!</definedName>
    <definedName name="RED_ELÉCTRICA_REGULADA" localSheetId="17">#REF!</definedName>
    <definedName name="RED_ELÉCTRICA_REGULADA" localSheetId="18">#REF!</definedName>
    <definedName name="RED_ELÉCTRICA_REGULADA" localSheetId="2">#REF!</definedName>
    <definedName name="RED_ELÉCTRICA_REGULADA">#REF!</definedName>
    <definedName name="redes">#REF!</definedName>
    <definedName name="rege" hidden="1">{"TAB1",#N/A,TRUE,"GENERAL";"TAB2",#N/A,TRUE,"GENERAL";"TAB3",#N/A,TRUE,"GENERAL";"TAB4",#N/A,TRUE,"GENERAL";"TAB5",#N/A,TRUE,"GENERAL"}</definedName>
    <definedName name="regional">#REF!</definedName>
    <definedName name="REGIST">#REF!</definedName>
    <definedName name="Registros_de_Asistencia">#REF!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 localSheetId="5">#REF!</definedName>
    <definedName name="REICIO" localSheetId="15">#REF!</definedName>
    <definedName name="REICIO" localSheetId="16">#REF!</definedName>
    <definedName name="REICIO" localSheetId="18">#REF!</definedName>
    <definedName name="REICIO" localSheetId="6">#REF!</definedName>
    <definedName name="REICIO" localSheetId="7">#REF!</definedName>
    <definedName name="REICIO" localSheetId="10">#REF!</definedName>
    <definedName name="REICIO" localSheetId="11">#REF!</definedName>
    <definedName name="REICIO" localSheetId="22">#REF!</definedName>
    <definedName name="REICIO">#REF!</definedName>
    <definedName name="Reimbursement">"Reembolso"</definedName>
    <definedName name="reinicio" localSheetId="5">#REF!</definedName>
    <definedName name="reinicio" localSheetId="15">#REF!</definedName>
    <definedName name="reinicio" localSheetId="16">#REF!</definedName>
    <definedName name="reinicio" localSheetId="18">#REF!</definedName>
    <definedName name="reinicio" localSheetId="6">#REF!</definedName>
    <definedName name="reinicio" localSheetId="7">#REF!</definedName>
    <definedName name="reinicio" localSheetId="10">#REF!</definedName>
    <definedName name="reinicio" localSheetId="11">#REF!</definedName>
    <definedName name="reinicio" localSheetId="22">#REF!</definedName>
    <definedName name="reinicio">#REF!</definedName>
    <definedName name="REJA">#REF!</definedName>
    <definedName name="REJHE" hidden="1">{"via1",#N/A,TRUE,"general";"via2",#N/A,TRUE,"general";"via3",#N/A,TRUE,"general"}</definedName>
    <definedName name="rell">#REF!</definedName>
    <definedName name="Renoai">#REF!</definedName>
    <definedName name="REP.PAV">#REF!</definedName>
    <definedName name="reparacion">#REF!</definedName>
    <definedName name="reparacione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IF(Loan_Amount*Interest_Rate*Loan_Years*Loan_Start&gt;0,1,0)</definedName>
    <definedName name="residente">#REF!</definedName>
    <definedName name="RESINA">#REF!</definedName>
    <definedName name="resist_cond">#REF!</definedName>
    <definedName name="RESU" localSheetId="17">#REF!</definedName>
    <definedName name="RESU" localSheetId="18">#REF!</definedName>
    <definedName name="RESU" localSheetId="0">#REF!</definedName>
    <definedName name="RESU">#REF!</definedName>
    <definedName name="ret" localSheetId="17">#REF!</definedName>
    <definedName name="ret" localSheetId="18">#REF!</definedName>
    <definedName name="ret" localSheetId="2">#REF!</definedName>
    <definedName name="ret">#REF!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RO" localSheetId="0">#REF!</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VEST_ESP_ITEM" localSheetId="17">#REF!</definedName>
    <definedName name="REVEST_ESP_ITEM" localSheetId="18">#REF!</definedName>
    <definedName name="REVEST_ESP_ITEM">#REF!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 localSheetId="17">#REF!</definedName>
    <definedName name="ri" localSheetId="18">#REF!</definedName>
    <definedName name="ri" localSheetId="2">#REF!</definedName>
    <definedName name="ri">#REF!</definedName>
    <definedName name="RICARDO">#REF!,#REF!,#REF!,#REF!,#REF!,#REF!,#REF!,#REF!,#REF!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IGA" localSheetId="0">#REF!</definedName>
    <definedName name="RLIGA">#REF!</definedName>
    <definedName name="rodrigo">"$generales.$a$1:$"</definedName>
    <definedName name="royalphalumi">#REF!</definedName>
    <definedName name="rr" localSheetId="5">#REF!</definedName>
    <definedName name="rr" localSheetId="15">#REF!</definedName>
    <definedName name="rr" localSheetId="16">#REF!</definedName>
    <definedName name="rr" localSheetId="18">#REF!</definedName>
    <definedName name="rr" localSheetId="6">#REF!</definedName>
    <definedName name="rr" localSheetId="7">#REF!</definedName>
    <definedName name="rr" localSheetId="10">#REF!</definedName>
    <definedName name="rr" localSheetId="11">#REF!</definedName>
    <definedName name="rr" localSheetId="22">#REF!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IDO">'15. ANEXO SST-PMT-PMA'!$D$13</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wvu.ComparEneMar9697." hidden="1">#REF!,#REF!</definedName>
    <definedName name="Rwvu.EneFeb." hidden="1">#REF!,#REF!</definedName>
    <definedName name="Rwvu.Formato._.Corto." hidden="1">#REF!,#REF!,#REF!,#REF!,#REF!,#REF!</definedName>
    <definedName name="Rwvu.OPEF._.96." hidden="1">#REF!,#REF!</definedName>
    <definedName name="Rwvu.OPEF._.97." hidden="1">#REF!,#REF!,#REF!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17">#REF!</definedName>
    <definedName name="S" localSheetId="18">#REF!</definedName>
    <definedName name="S" localSheetId="0">#REF!</definedName>
    <definedName name="S" localSheetId="2">#REF!</definedName>
    <definedName name="S">#REF!</definedName>
    <definedName name="saa" hidden="1">{"via1",#N/A,TRUE,"general";"via2",#N/A,TRUE,"general";"via3",#N/A,TRUE,"general"}</definedName>
    <definedName name="Sabaneta">#REF!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#REF!</definedName>
    <definedName name="SANTILL">#REF!</definedName>
    <definedName name="sbg">#REF!</definedName>
    <definedName name="sbgfbgdr" hidden="1">{"via1",#N/A,TRUE,"general";"via2",#N/A,TRUE,"general";"via3",#N/A,TRUE,"general"}</definedName>
    <definedName name="scft">#REF!</definedName>
    <definedName name="Sched_Pay">#REF!</definedName>
    <definedName name="SCHEDULE">#REF!</definedName>
    <definedName name="Scheduled_Extra_Payments">#REF!</definedName>
    <definedName name="Scheduled_Interest_Rate">#REF!</definedName>
    <definedName name="Scheduled_Monthly_Payment">#REF!</definedName>
    <definedName name="SD" localSheetId="17">#REF!</definedName>
    <definedName name="SD" localSheetId="18">#REF!</definedName>
    <definedName name="sd" localSheetId="0" hidden="1">{"TAB1",#N/A,TRUE,"GENERAL";"TAB2",#N/A,TRUE,"GENERAL";"TAB3",#N/A,TRUE,"GENERAL";"TAB4",#N/A,TRUE,"GENERAL";"TAB5",#N/A,TRUE,"GENERAL"}</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D">#REF!</definedName>
    <definedName name="sdsdfh" hidden="1">{"via1",#N/A,TRUE,"general";"via2",#N/A,TRUE,"general";"via3",#N/A,TRUE,"general"}</definedName>
    <definedName name="SDSDSD">#REF!</definedName>
    <definedName name="seccion1">#REF!</definedName>
    <definedName name="seccion2">#REF!</definedName>
    <definedName name="SECTOR">#REF!</definedName>
    <definedName name="Segurambiensalud">#REF!</definedName>
    <definedName name="sem">#REF!</definedName>
    <definedName name="SEM_DEL_MES">#REF!</definedName>
    <definedName name="semanal" localSheetId="0">#REF!</definedName>
    <definedName name="semanal">#REF!</definedName>
    <definedName name="Semanas_mes">#REF!</definedName>
    <definedName name="señv">#REF!</definedName>
    <definedName name="SepOct">#REF!</definedName>
    <definedName name="SepOct_C">#REF!</definedName>
    <definedName name="SEPT_25_09" localSheetId="17">#REF!</definedName>
    <definedName name="SEPT_25_09" localSheetId="18">#REF!</definedName>
    <definedName name="SEPT_25_09">#REF!</definedName>
    <definedName name="SERO" localSheetId="5">#REF!</definedName>
    <definedName name="SERO" localSheetId="15">#REF!</definedName>
    <definedName name="SERO" localSheetId="16">#REF!</definedName>
    <definedName name="SERO" localSheetId="18">#REF!</definedName>
    <definedName name="SERO" localSheetId="6">#REF!</definedName>
    <definedName name="SERO" localSheetId="7">#REF!</definedName>
    <definedName name="SERO" localSheetId="10">#REF!</definedName>
    <definedName name="SERO" localSheetId="11">#REF!</definedName>
    <definedName name="SERO" localSheetId="22">#REF!</definedName>
    <definedName name="SERO">#REF!</definedName>
    <definedName name="servicio" localSheetId="0">#REF!</definedName>
    <definedName name="servicio">#REF!</definedName>
    <definedName name="Servicios">#REF!</definedName>
    <definedName name="setrj" hidden="1">{"via1",#N/A,TRUE,"general";"via2",#N/A,TRUE,"general";"via3",#N/A,TRUE,"general"}</definedName>
    <definedName name="sett" hidden="1">{"via1",#N/A,TRUE,"general";"via2",#N/A,TRUE,"general";"via3",#N/A,TRUE,"general"}</definedName>
    <definedName name="SF" localSheetId="17">#REF!</definedName>
    <definedName name="SF" localSheetId="18">#REF!</definedName>
    <definedName name="SF">#REF!</definedName>
    <definedName name="sfasf" hidden="1">{"TAB1",#N/A,TRUE,"GENERAL";"TAB2",#N/A,TRUE,"GENERAL";"TAB3",#N/A,TRUE,"GENERAL";"TAB4",#N/A,TRUE,"GENERAL";"TAB5",#N/A,TRUE,"GENERAL"}</definedName>
    <definedName name="sfb">#REF!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AGR">#REF!</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1+(0.15+0.16*0.05)</definedName>
    <definedName name="SHARED_FORMULA_1153">#N/A</definedName>
    <definedName name="SHARED_FORMULA_1154">#N/A</definedName>
    <definedName name="SHARED_FORMULA_1155">1+(0+0.16*0.03)</definedName>
    <definedName name="SHARED_FORMULA_1156">#N/A</definedName>
    <definedName name="SHARED_FORMULA_1157">#N/A</definedName>
    <definedName name="SHARED_FORMULA_1158">1+(0.18+0.16*0.05)</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1+(0.15+0.16*0.05)</definedName>
    <definedName name="SHARED_FORMULA_1166">#N/A</definedName>
    <definedName name="SHARED_FORMULA_1167">1+(0+0.16*0.03)</definedName>
    <definedName name="SHARED_FORMULA_1168">#N/A</definedName>
    <definedName name="SHARED_FORMULA_1169">1+(0.18+0.16*0.05)</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#N/A</definedName>
    <definedName name="SHARED_FORMULA_120">#N/A</definedName>
    <definedName name="SHARED_FORMULA_1200">#N/A</definedName>
    <definedName name="SHARED_FORMULA_1201">#N/A</definedName>
    <definedName name="SHARED_FORMULA_1202">1+(0.15+0.16*0.05)</definedName>
    <definedName name="SHARED_FORMULA_1203">#N/A</definedName>
    <definedName name="SHARED_FORMULA_1204">#N/A</definedName>
    <definedName name="SHARED_FORMULA_1205">1+(0+0.16*0.03)</definedName>
    <definedName name="SHARED_FORMULA_1206">#N/A</definedName>
    <definedName name="SHARED_FORMULA_1207">#N/A</definedName>
    <definedName name="SHARED_FORMULA_1208">1+(0.18+0.16*0.05)</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1+(0.15+0.16*0.05)</definedName>
    <definedName name="SHARED_FORMULA_1216">#N/A</definedName>
    <definedName name="SHARED_FORMULA_1217">1+(0+0.16*0.03)</definedName>
    <definedName name="SHARED_FORMULA_1218">#N/A</definedName>
    <definedName name="SHARED_FORMULA_1219">1+(0.18+0.16*0.05)</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35">#N/A</definedName>
    <definedName name="SHARED_FORMULA_1236">#N/A</definedName>
    <definedName name="SHARED_FORMULA_1237">1+(0.15+0.16*0.05)</definedName>
    <definedName name="SHARED_FORMULA_1238">#N/A</definedName>
    <definedName name="SHARED_FORMULA_1239">#N/A</definedName>
    <definedName name="SHARED_FORMULA_124">#N/A</definedName>
    <definedName name="SHARED_FORMULA_1240">1+(0+0.16*0.03)</definedName>
    <definedName name="SHARED_FORMULA_1241">#N/A</definedName>
    <definedName name="SHARED_FORMULA_1242">#N/A</definedName>
    <definedName name="SHARED_FORMULA_1243">1+(0.18+0.16*0.05)</definedName>
    <definedName name="SHARED_FORMULA_1244">#N/A</definedName>
    <definedName name="SHARED_FORMULA_1245">#N/A</definedName>
    <definedName name="SHARED_FORMULA_1246">#N/A</definedName>
    <definedName name="SHARED_FORMULA_1247">#N/A</definedName>
    <definedName name="SHARED_FORMULA_1248">#N/A</definedName>
    <definedName name="SHARED_FORMULA_1249">#N/A</definedName>
    <definedName name="SHARED_FORMULA_125">#N/A</definedName>
    <definedName name="SHARED_FORMULA_1250">1+(0.15+0.16*0.05)</definedName>
    <definedName name="SHARED_FORMULA_1251">#N/A</definedName>
    <definedName name="SHARED_FORMULA_1252">1+(0+0.16*0.03)</definedName>
    <definedName name="SHARED_FORMULA_1253">#N/A</definedName>
    <definedName name="SHARED_FORMULA_1254">1+(0.18+0.16*0.05)</definedName>
    <definedName name="SHARED_FORMULA_1255">#N/A</definedName>
    <definedName name="SHARED_FORMULA_1256">#N/A</definedName>
    <definedName name="SHARED_FORMULA_1257">#N/A</definedName>
    <definedName name="SHARED_FORMULA_1258">#N/A</definedName>
    <definedName name="SHARED_FORMULA_1259">#N/A</definedName>
    <definedName name="SHARED_FORMULA_126">#N/A</definedName>
    <definedName name="SHARED_FORMULA_1260">#N/A</definedName>
    <definedName name="SHARED_FORMULA_1261">#N/A</definedName>
    <definedName name="SHARED_FORMULA_1262">#N/A</definedName>
    <definedName name="SHARED_FORMULA_1263">#N/A</definedName>
    <definedName name="SHARED_FORMULA_1264">#N/A</definedName>
    <definedName name="SHARED_FORMULA_1265">#N/A</definedName>
    <definedName name="SHARED_FORMULA_1266">#N/A</definedName>
    <definedName name="SHARED_FORMULA_1267">#N/A</definedName>
    <definedName name="SHARED_FORMULA_1268">#N/A</definedName>
    <definedName name="SHARED_FORMULA_1269">#N/A</definedName>
    <definedName name="SHARED_FORMULA_127">#N/A</definedName>
    <definedName name="SHARED_FORMULA_1270">#N/A</definedName>
    <definedName name="SHARED_FORMULA_1271">#N/A</definedName>
    <definedName name="SHARED_FORMULA_1272">#N/A</definedName>
    <definedName name="SHARED_FORMULA_1273">#N/A</definedName>
    <definedName name="SHARED_FORMULA_1274">#N/A</definedName>
    <definedName name="SHARED_FORMULA_1275">#N/A</definedName>
    <definedName name="SHARED_FORMULA_1276">#N/A</definedName>
    <definedName name="SHARED_FORMULA_1277">#N/A</definedName>
    <definedName name="SHARED_FORMULA_1278">#N/A</definedName>
    <definedName name="SHARED_FORMULA_1279">#N/A</definedName>
    <definedName name="SHARED_FORMULA_128">#N/A</definedName>
    <definedName name="SHARED_FORMULA_1280">#N/A</definedName>
    <definedName name="SHARED_FORMULA_1281">#N/A</definedName>
    <definedName name="SHARED_FORMULA_1282">#N/A</definedName>
    <definedName name="SHARED_FORMULA_1283">#N/A</definedName>
    <definedName name="SHARED_FORMULA_1284">#N/A</definedName>
    <definedName name="SHARED_FORMULA_1285">1+(0.15+0.16*0.05)</definedName>
    <definedName name="SHARED_FORMULA_1286">#N/A</definedName>
    <definedName name="SHARED_FORMULA_1287">1+(0+0.16*0.03)</definedName>
    <definedName name="SHARED_FORMULA_1288">#N/A</definedName>
    <definedName name="SHARED_FORMULA_1289">#N/A</definedName>
    <definedName name="SHARED_FORMULA_129">#N/A</definedName>
    <definedName name="SHARED_FORMULA_1290">1+(0.18+0.16*0.05)</definedName>
    <definedName name="SHARED_FORMULA_1291">#N/A</definedName>
    <definedName name="SHARED_FORMULA_1292">#N/A</definedName>
    <definedName name="SHARED_FORMULA_1293">#N/A</definedName>
    <definedName name="SHARED_FORMULA_1294">#N/A</definedName>
    <definedName name="SHARED_FORMULA_1295">#N/A</definedName>
    <definedName name="SHARED_FORMULA_1296">#N/A</definedName>
    <definedName name="SHARED_FORMULA_1297">#N/A</definedName>
    <definedName name="SHARED_FORMULA_1298">#N/A</definedName>
    <definedName name="SHARED_FORMULA_1299">#N/A</definedName>
    <definedName name="SHARED_FORMULA_13">#N/A</definedName>
    <definedName name="SHARED_FORMULA_130">#N/A</definedName>
    <definedName name="SHARED_FORMULA_1300">#N/A</definedName>
    <definedName name="SHARED_FORMULA_1301">#N/A</definedName>
    <definedName name="SHARED_FORMULA_1302">#N/A</definedName>
    <definedName name="SHARED_FORMULA_1303">#N/A</definedName>
    <definedName name="SHARED_FORMULA_1304">#N/A</definedName>
    <definedName name="SHARED_FORMULA_1305">#N/A</definedName>
    <definedName name="SHARED_FORMULA_1306">#N/A</definedName>
    <definedName name="SHARED_FORMULA_1307">#N/A</definedName>
    <definedName name="SHARED_FORMULA_1308">#N/A</definedName>
    <definedName name="SHARED_FORMULA_1309">#N/A</definedName>
    <definedName name="SHARED_FORMULA_131">#N/A</definedName>
    <definedName name="SHARED_FORMULA_1310">#N/A</definedName>
    <definedName name="SHARED_FORMULA_1311">#N/A</definedName>
    <definedName name="SHARED_FORMULA_1312">#N/A</definedName>
    <definedName name="SHARED_FORMULA_1313">#N/A</definedName>
    <definedName name="SHARED_FORMULA_1314">#N/A</definedName>
    <definedName name="SHARED_FORMULA_1315">#N/A</definedName>
    <definedName name="SHARED_FORMULA_1316">#N/A</definedName>
    <definedName name="SHARED_FORMULA_1317">#N/A</definedName>
    <definedName name="SHARED_FORMULA_1318">#N/A</definedName>
    <definedName name="SHARED_FORMULA_1319">#N/A</definedName>
    <definedName name="SHARED_FORMULA_132">#N/A</definedName>
    <definedName name="SHARED_FORMULA_1320">#N/A</definedName>
    <definedName name="SHARED_FORMULA_1321">#N/A</definedName>
    <definedName name="SHARED_FORMULA_1322">#N/A</definedName>
    <definedName name="SHARED_FORMULA_1323">#N/A</definedName>
    <definedName name="SHARED_FORMULA_1324">#N/A</definedName>
    <definedName name="SHARED_FORMULA_1325">#N/A</definedName>
    <definedName name="SHARED_FORMULA_1326">#N/A</definedName>
    <definedName name="SHARED_FORMULA_1327">#N/A</definedName>
    <definedName name="SHARED_FORMULA_1328">#N/A</definedName>
    <definedName name="SHARED_FORMULA_1329">#N/A</definedName>
    <definedName name="SHARED_FORMULA_133">#N/A</definedName>
    <definedName name="SHARED_FORMULA_1330">#N/A</definedName>
    <definedName name="SHARED_FORMULA_1331">#N/A</definedName>
    <definedName name="SHARED_FORMULA_1332">#N/A</definedName>
    <definedName name="SHARED_FORMULA_1333">#N/A</definedName>
    <definedName name="SHARED_FORMULA_1334">#N/A</definedName>
    <definedName name="SHARED_FORMULA_1335">#N/A</definedName>
    <definedName name="SHARED_FORMULA_1336">#N/A</definedName>
    <definedName name="SHARED_FORMULA_1337">#N/A</definedName>
    <definedName name="SHARED_FORMULA_1338">#N/A</definedName>
    <definedName name="SHARED_FORMULA_1339">#N/A</definedName>
    <definedName name="SHARED_FORMULA_134">#N/A</definedName>
    <definedName name="SHARED_FORMULA_1340">#N/A</definedName>
    <definedName name="SHARED_FORMULA_1341">#N/A</definedName>
    <definedName name="SHARED_FORMULA_1342">#N/A</definedName>
    <definedName name="SHARED_FORMULA_1343">#N/A</definedName>
    <definedName name="SHARED_FORMULA_1344">#N/A</definedName>
    <definedName name="SHARED_FORMULA_1345">#N/A</definedName>
    <definedName name="SHARED_FORMULA_1346">#N/A</definedName>
    <definedName name="SHARED_FORMULA_1347">#N/A</definedName>
    <definedName name="SHARED_FORMULA_1348">#N/A</definedName>
    <definedName name="SHARED_FORMULA_1349">#N/A</definedName>
    <definedName name="SHARED_FORMULA_135">#N/A</definedName>
    <definedName name="SHARED_FORMULA_1350">#N/A</definedName>
    <definedName name="SHARED_FORMULA_1351">#N/A</definedName>
    <definedName name="SHARED_FORMULA_1352">#N/A</definedName>
    <definedName name="SHARED_FORMULA_1353">#N/A</definedName>
    <definedName name="SHARED_FORMULA_1354">#N/A</definedName>
    <definedName name="SHARED_FORMULA_1355">#N/A</definedName>
    <definedName name="SHARED_FORMULA_1356">#N/A</definedName>
    <definedName name="SHARED_FORMULA_1357">#N/A</definedName>
    <definedName name="SHARED_FORMULA_1358">#N/A</definedName>
    <definedName name="SHARED_FORMULA_1359">#N/A</definedName>
    <definedName name="SHARED_FORMULA_136">#N/A</definedName>
    <definedName name="SHARED_FORMULA_1360">#N/A</definedName>
    <definedName name="SHARED_FORMULA_1361">#N/A</definedName>
    <definedName name="SHARED_FORMULA_1362">#N/A</definedName>
    <definedName name="SHARED_FORMULA_1363">#N/A</definedName>
    <definedName name="SHARED_FORMULA_1364">#N/A</definedName>
    <definedName name="SHARED_FORMULA_1365">#N/A</definedName>
    <definedName name="SHARED_FORMULA_1366">#N/A</definedName>
    <definedName name="SHARED_FORMULA_1367">#N/A</definedName>
    <definedName name="SHARED_FORMULA_1368">#N/A</definedName>
    <definedName name="SHARED_FORMULA_1369">#N/A</definedName>
    <definedName name="SHARED_FORMULA_137">#N/A</definedName>
    <definedName name="SHARED_FORMULA_1370">#N/A</definedName>
    <definedName name="SHARED_FORMULA_1371">#N/A</definedName>
    <definedName name="SHARED_FORMULA_1372">#N/A</definedName>
    <definedName name="SHARED_FORMULA_1373">#N/A</definedName>
    <definedName name="SHARED_FORMULA_1374">#N/A</definedName>
    <definedName name="SHARED_FORMULA_1375">#N/A</definedName>
    <definedName name="SHARED_FORMULA_1376">#N/A</definedName>
    <definedName name="SHARED_FORMULA_1377">#N/A</definedName>
    <definedName name="SHARED_FORMULA_1378">#N/A</definedName>
    <definedName name="SHARED_FORMULA_1379">#N/A</definedName>
    <definedName name="SHARED_FORMULA_138">#N/A</definedName>
    <definedName name="SHARED_FORMULA_1380">#N/A</definedName>
    <definedName name="SHARED_FORMULA_1381">#N/A</definedName>
    <definedName name="SHARED_FORMULA_1382">#N/A</definedName>
    <definedName name="SHARED_FORMULA_1383">#N/A</definedName>
    <definedName name="SHARED_FORMULA_1384">#N/A</definedName>
    <definedName name="SHARED_FORMULA_1385">#N/A</definedName>
    <definedName name="SHARED_FORMULA_1386">#N/A</definedName>
    <definedName name="SHARED_FORMULA_1387">#N/A</definedName>
    <definedName name="SHARED_FORMULA_1388">#N/A</definedName>
    <definedName name="SHARED_FORMULA_1389">#N/A</definedName>
    <definedName name="SHARED_FORMULA_139">#N/A</definedName>
    <definedName name="SHARED_FORMULA_1390">#N/A</definedName>
    <definedName name="SHARED_FORMULA_1391">#N/A</definedName>
    <definedName name="SHARED_FORMULA_1392">#N/A</definedName>
    <definedName name="SHARED_FORMULA_1393">#N/A</definedName>
    <definedName name="SHARED_FORMULA_1394">#N/A</definedName>
    <definedName name="SHARED_FORMULA_1395">#N/A</definedName>
    <definedName name="SHARED_FORMULA_1396">#N/A</definedName>
    <definedName name="SHARED_FORMULA_1397">#N/A</definedName>
    <definedName name="SHARED_FORMULA_1398">#N/A</definedName>
    <definedName name="SHARED_FORMULA_1399">#N/A</definedName>
    <definedName name="SHARED_FORMULA_14">#N/A</definedName>
    <definedName name="SHARED_FORMULA_140">#N/A</definedName>
    <definedName name="SHARED_FORMULA_1400">#N/A</definedName>
    <definedName name="SHARED_FORMULA_1401">#N/A</definedName>
    <definedName name="SHARED_FORMULA_1402">#N/A</definedName>
    <definedName name="SHARED_FORMULA_1403">#N/A</definedName>
    <definedName name="SHARED_FORMULA_1404">#N/A</definedName>
    <definedName name="SHARED_FORMULA_1405">#N/A</definedName>
    <definedName name="SHARED_FORMULA_1406">#N/A</definedName>
    <definedName name="SHARED_FORMULA_1407">#N/A</definedName>
    <definedName name="SHARED_FORMULA_1408">#N/A</definedName>
    <definedName name="SHARED_FORMULA_1409">#N/A</definedName>
    <definedName name="SHARED_FORMULA_141">#N/A</definedName>
    <definedName name="SHARED_FORMULA_1410">#N/A</definedName>
    <definedName name="SHARED_FORMULA_1411">#N/A</definedName>
    <definedName name="SHARED_FORMULA_1412">#N/A</definedName>
    <definedName name="SHARED_FORMULA_1413">#N/A</definedName>
    <definedName name="SHARED_FORMULA_1414">#N/A</definedName>
    <definedName name="SHARED_FORMULA_1415">#N/A</definedName>
    <definedName name="SHARED_FORMULA_1416">#N/A</definedName>
    <definedName name="SHARED_FORMULA_1417">#N/A</definedName>
    <definedName name="SHARED_FORMULA_1418">#N/A</definedName>
    <definedName name="SHARED_FORMULA_1419">#N/A</definedName>
    <definedName name="SHARED_FORMULA_142">#N/A</definedName>
    <definedName name="SHARED_FORMULA_1420">#N/A</definedName>
    <definedName name="SHARED_FORMULA_1421">#N/A</definedName>
    <definedName name="SHARED_FORMULA_1422">#N/A</definedName>
    <definedName name="SHARED_FORMULA_1423">#N/A</definedName>
    <definedName name="SHARED_FORMULA_1424">#N/A</definedName>
    <definedName name="SHARED_FORMULA_1425">#N/A</definedName>
    <definedName name="SHARED_FORMULA_1426">#N/A</definedName>
    <definedName name="SHARED_FORMULA_1427">#N/A</definedName>
    <definedName name="SHARED_FORMULA_1428">#N/A</definedName>
    <definedName name="SHARED_FORMULA_1429">#N/A</definedName>
    <definedName name="SHARED_FORMULA_143">#N/A</definedName>
    <definedName name="SHARED_FORMULA_1430">#N/A</definedName>
    <definedName name="SHARED_FORMULA_1431">#N/A</definedName>
    <definedName name="SHARED_FORMULA_1432">#N/A</definedName>
    <definedName name="SHARED_FORMULA_1433">#N/A</definedName>
    <definedName name="SHARED_FORMULA_1434">#N/A</definedName>
    <definedName name="SHARED_FORMULA_1435">#N/A</definedName>
    <definedName name="SHARED_FORMULA_1436">#N/A</definedName>
    <definedName name="SHARED_FORMULA_1437">#N/A</definedName>
    <definedName name="SHARED_FORMULA_1438">#N/A</definedName>
    <definedName name="SHARED_FORMULA_1439">#N/A</definedName>
    <definedName name="SHARED_FORMULA_144">#N/A</definedName>
    <definedName name="SHARED_FORMULA_1440">#N/A</definedName>
    <definedName name="SHARED_FORMULA_1441">#N/A</definedName>
    <definedName name="SHARED_FORMULA_1442">#N/A</definedName>
    <definedName name="SHARED_FORMULA_1443">#N/A</definedName>
    <definedName name="SHARED_FORMULA_1444">#N/A</definedName>
    <definedName name="SHARED_FORMULA_1445">#N/A</definedName>
    <definedName name="SHARED_FORMULA_1446">#N/A</definedName>
    <definedName name="SHARED_FORMULA_1447">#N/A</definedName>
    <definedName name="SHARED_FORMULA_1448">#N/A</definedName>
    <definedName name="SHARED_FORMULA_1449">#N/A</definedName>
    <definedName name="SHARED_FORMULA_145">#N/A</definedName>
    <definedName name="SHARED_FORMULA_1450">#N/A</definedName>
    <definedName name="SHARED_FORMULA_1451">#N/A</definedName>
    <definedName name="SHARED_FORMULA_1452">#N/A</definedName>
    <definedName name="SHARED_FORMULA_1453">#N/A</definedName>
    <definedName name="SHARED_FORMULA_1454">#N/A</definedName>
    <definedName name="SHARED_FORMULA_1455">#N/A</definedName>
    <definedName name="SHARED_FORMULA_1456">#N/A</definedName>
    <definedName name="SHARED_FORMULA_1457">#N/A</definedName>
    <definedName name="SHARED_FORMULA_1458">#N/A</definedName>
    <definedName name="SHARED_FORMULA_1459">#N/A</definedName>
    <definedName name="SHARED_FORMULA_146">#N/A</definedName>
    <definedName name="SHARED_FORMULA_1460">#N/A</definedName>
    <definedName name="SHARED_FORMULA_1461">#N/A</definedName>
    <definedName name="SHARED_FORMULA_1462">#N/A</definedName>
    <definedName name="SHARED_FORMULA_1463">#N/A</definedName>
    <definedName name="SHARED_FORMULA_1464">#N/A</definedName>
    <definedName name="SHARED_FORMULA_1465">#N/A</definedName>
    <definedName name="SHARED_FORMULA_1466">#N/A</definedName>
    <definedName name="SHARED_FORMULA_1467">#N/A</definedName>
    <definedName name="SHARED_FORMULA_1468">#N/A</definedName>
    <definedName name="SHARED_FORMULA_1469">#N/A</definedName>
    <definedName name="SHARED_FORMULA_147">#N/A</definedName>
    <definedName name="SHARED_FORMULA_1470">#N/A</definedName>
    <definedName name="SHARED_FORMULA_1471">#N/A</definedName>
    <definedName name="SHARED_FORMULA_1472">#N/A</definedName>
    <definedName name="SHARED_FORMULA_1473">#N/A</definedName>
    <definedName name="SHARED_FORMULA_1474">#N/A</definedName>
    <definedName name="SHARED_FORMULA_1475">#N/A</definedName>
    <definedName name="SHARED_FORMULA_1476">#N/A</definedName>
    <definedName name="SHARED_FORMULA_1477">#N/A</definedName>
    <definedName name="SHARED_FORMULA_1478">#N/A</definedName>
    <definedName name="SHARED_FORMULA_1479">#N/A</definedName>
    <definedName name="SHARED_FORMULA_148">#N/A</definedName>
    <definedName name="SHARED_FORMULA_1480">#N/A</definedName>
    <definedName name="SHARED_FORMULA_1481">#N/A</definedName>
    <definedName name="SHARED_FORMULA_1482">#N/A</definedName>
    <definedName name="SHARED_FORMULA_1483">#N/A</definedName>
    <definedName name="SHARED_FORMULA_1484">#N/A</definedName>
    <definedName name="SHARED_FORMULA_1485">#N/A</definedName>
    <definedName name="SHARED_FORMULA_1486">#N/A</definedName>
    <definedName name="SHARED_FORMULA_1487">#N/A</definedName>
    <definedName name="SHARED_FORMULA_1488">#N/A</definedName>
    <definedName name="SHARED_FORMULA_1489">#N/A</definedName>
    <definedName name="SHARED_FORMULA_149">#N/A</definedName>
    <definedName name="SHARED_FORMULA_1490">#N/A</definedName>
    <definedName name="SHARED_FORMULA_1491">#N/A</definedName>
    <definedName name="SHARED_FORMULA_1492">#N/A</definedName>
    <definedName name="SHARED_FORMULA_1493">#N/A</definedName>
    <definedName name="SHARED_FORMULA_1494">#N/A</definedName>
    <definedName name="SHARED_FORMULA_1495">#N/A</definedName>
    <definedName name="SHARED_FORMULA_1496">#N/A</definedName>
    <definedName name="SHARED_FORMULA_1497">#N/A</definedName>
    <definedName name="SHARED_FORMULA_1498">#N/A</definedName>
    <definedName name="SHARED_FORMULA_1499">#N/A</definedName>
    <definedName name="SHARED_FORMULA_15">#N/A</definedName>
    <definedName name="SHARED_FORMULA_150">#N/A</definedName>
    <definedName name="SHARED_FORMULA_1500">#N/A</definedName>
    <definedName name="SHARED_FORMULA_1501">#N/A</definedName>
    <definedName name="SHARED_FORMULA_1502">#N/A</definedName>
    <definedName name="SHARED_FORMULA_1503">#N/A</definedName>
    <definedName name="SHARED_FORMULA_1504">#N/A</definedName>
    <definedName name="SHARED_FORMULA_1505">#N/A</definedName>
    <definedName name="SHARED_FORMULA_1506">#N/A</definedName>
    <definedName name="SHARED_FORMULA_1507">#N/A</definedName>
    <definedName name="SHARED_FORMULA_1508">#N/A</definedName>
    <definedName name="SHARED_FORMULA_1509">#N/A</definedName>
    <definedName name="SHARED_FORMULA_151">#N/A</definedName>
    <definedName name="SHARED_FORMULA_1510">#N/A</definedName>
    <definedName name="SHARED_FORMULA_1511">#N/A</definedName>
    <definedName name="SHARED_FORMULA_1512">#N/A</definedName>
    <definedName name="SHARED_FORMULA_1513">#N/A</definedName>
    <definedName name="SHARED_FORMULA_1514">#N/A</definedName>
    <definedName name="SHARED_FORMULA_1515">#N/A</definedName>
    <definedName name="SHARED_FORMULA_1516">#N/A</definedName>
    <definedName name="SHARED_FORMULA_1517">#N/A</definedName>
    <definedName name="SHARED_FORMULA_1518">#N/A</definedName>
    <definedName name="SHARED_FORMULA_1519">#N/A</definedName>
    <definedName name="SHARED_FORMULA_152">#N/A</definedName>
    <definedName name="SHARED_FORMULA_1520">#N/A</definedName>
    <definedName name="SHARED_FORMULA_1521">#N/A</definedName>
    <definedName name="SHARED_FORMULA_1522">#N/A</definedName>
    <definedName name="SHARED_FORMULA_1523">#N/A</definedName>
    <definedName name="SHARED_FORMULA_1524">#N/A</definedName>
    <definedName name="SHARED_FORMULA_1525">#N/A</definedName>
    <definedName name="SHARED_FORMULA_1526">#N/A</definedName>
    <definedName name="SHARED_FORMULA_1527">#N/A</definedName>
    <definedName name="SHARED_FORMULA_1528">#N/A</definedName>
    <definedName name="SHARED_FORMULA_1529">#N/A</definedName>
    <definedName name="SHARED_FORMULA_153">#N/A</definedName>
    <definedName name="SHARED_FORMULA_1530">#N/A</definedName>
    <definedName name="SHARED_FORMULA_1531">#N/A</definedName>
    <definedName name="SHARED_FORMULA_1532">#N/A</definedName>
    <definedName name="SHARED_FORMULA_1533">#N/A</definedName>
    <definedName name="SHARED_FORMULA_1534">#N/A</definedName>
    <definedName name="SHARED_FORMULA_1535">#N/A</definedName>
    <definedName name="SHARED_FORMULA_1536">#N/A</definedName>
    <definedName name="SHARED_FORMULA_1537">#N/A</definedName>
    <definedName name="SHARED_FORMULA_1538">#N/A</definedName>
    <definedName name="SHARED_FORMULA_1539">#N/A</definedName>
    <definedName name="SHARED_FORMULA_154">#N/A</definedName>
    <definedName name="SHARED_FORMULA_1540">#N/A</definedName>
    <definedName name="SHARED_FORMULA_1541">#N/A</definedName>
    <definedName name="SHARED_FORMULA_1542">#N/A</definedName>
    <definedName name="SHARED_FORMULA_1543">#N/A</definedName>
    <definedName name="SHARED_FORMULA_1544">#N/A</definedName>
    <definedName name="SHARED_FORMULA_1545">#N/A</definedName>
    <definedName name="SHARED_FORMULA_1546">#N/A</definedName>
    <definedName name="SHARED_FORMULA_1547">#N/A</definedName>
    <definedName name="SHARED_FORMULA_1548">#N/A</definedName>
    <definedName name="SHARED_FORMULA_1549">#N/A</definedName>
    <definedName name="SHARED_FORMULA_155">#N/A</definedName>
    <definedName name="SHARED_FORMULA_1550">#N/A</definedName>
    <definedName name="SHARED_FORMULA_1551">#N/A</definedName>
    <definedName name="SHARED_FORMULA_1552">#N/A</definedName>
    <definedName name="SHARED_FORMULA_1553">#N/A</definedName>
    <definedName name="SHARED_FORMULA_1554">#N/A</definedName>
    <definedName name="SHARED_FORMULA_1555">#N/A</definedName>
    <definedName name="SHARED_FORMULA_1556">#N/A</definedName>
    <definedName name="SHARED_FORMULA_1557">#N/A</definedName>
    <definedName name="SHARED_FORMULA_1558">#N/A</definedName>
    <definedName name="SHARED_FORMULA_1559">#N/A</definedName>
    <definedName name="SHARED_FORMULA_156">#N/A</definedName>
    <definedName name="SHARED_FORMULA_1560">#N/A</definedName>
    <definedName name="SHARED_FORMULA_1561">#N/A</definedName>
    <definedName name="SHARED_FORMULA_1562">#N/A</definedName>
    <definedName name="SHARED_FORMULA_1563">#N/A</definedName>
    <definedName name="SHARED_FORMULA_1564">#N/A</definedName>
    <definedName name="SHARED_FORMULA_1565">#N/A</definedName>
    <definedName name="SHARED_FORMULA_1566">#N/A</definedName>
    <definedName name="SHARED_FORMULA_1567">#N/A</definedName>
    <definedName name="SHARED_FORMULA_1568">#N/A</definedName>
    <definedName name="SHARED_FORMULA_1569">#N/A</definedName>
    <definedName name="SHARED_FORMULA_157">#N/A</definedName>
    <definedName name="SHARED_FORMULA_1570">#N/A</definedName>
    <definedName name="SHARED_FORMULA_1571">#N/A</definedName>
    <definedName name="SHARED_FORMULA_1572">#N/A</definedName>
    <definedName name="SHARED_FORMULA_1573">#N/A</definedName>
    <definedName name="SHARED_FORMULA_1574">#N/A</definedName>
    <definedName name="SHARED_FORMULA_1575">#N/A</definedName>
    <definedName name="SHARED_FORMULA_1576">#N/A</definedName>
    <definedName name="SHARED_FORMULA_1577">#N/A</definedName>
    <definedName name="SHARED_FORMULA_1578">#N/A</definedName>
    <definedName name="SHARED_FORMULA_1579">#N/A</definedName>
    <definedName name="SHARED_FORMULA_158">#N/A</definedName>
    <definedName name="SHARED_FORMULA_1580">#N/A</definedName>
    <definedName name="SHARED_FORMULA_1581">#N/A</definedName>
    <definedName name="SHARED_FORMULA_1582">#N/A</definedName>
    <definedName name="SHARED_FORMULA_1583">#N/A</definedName>
    <definedName name="SHARED_FORMULA_1584">#N/A</definedName>
    <definedName name="SHARED_FORMULA_1585">#N/A</definedName>
    <definedName name="SHARED_FORMULA_1586">#N/A</definedName>
    <definedName name="SHARED_FORMULA_1587">#N/A</definedName>
    <definedName name="SHARED_FORMULA_1588">#N/A</definedName>
    <definedName name="SHARED_FORMULA_1589">#N/A</definedName>
    <definedName name="SHARED_FORMULA_159">#N/A</definedName>
    <definedName name="SHARED_FORMULA_1590">#N/A</definedName>
    <definedName name="SHARED_FORMULA_1591">#N/A</definedName>
    <definedName name="SHARED_FORMULA_1592">#N/A</definedName>
    <definedName name="SHARED_FORMULA_1593">#N/A</definedName>
    <definedName name="SHARED_FORMULA_1594">#N/A</definedName>
    <definedName name="SHARED_FORMULA_1595">#N/A</definedName>
    <definedName name="SHARED_FORMULA_1596">#N/A</definedName>
    <definedName name="SHARED_FORMULA_1597">#N/A</definedName>
    <definedName name="SHARED_FORMULA_1598">#N/A</definedName>
    <definedName name="SHARED_FORMULA_1599">#N/A</definedName>
    <definedName name="SHARED_FORMULA_16">#N/A</definedName>
    <definedName name="SHARED_FORMULA_160">#N/A</definedName>
    <definedName name="SHARED_FORMULA_1600">#N/A</definedName>
    <definedName name="SHARED_FORMULA_1601">#N/A</definedName>
    <definedName name="SHARED_FORMULA_1602">#N/A</definedName>
    <definedName name="SHARED_FORMULA_1603">#N/A</definedName>
    <definedName name="SHARED_FORMULA_1604">#N/A</definedName>
    <definedName name="SHARED_FORMULA_1605">#N/A</definedName>
    <definedName name="SHARED_FORMULA_1606">#N/A</definedName>
    <definedName name="SHARED_FORMULA_1607">#N/A</definedName>
    <definedName name="SHARED_FORMULA_1608">#N/A</definedName>
    <definedName name="SHARED_FORMULA_1609">#N/A</definedName>
    <definedName name="SHARED_FORMULA_161">#N/A</definedName>
    <definedName name="SHARED_FORMULA_1610">#N/A</definedName>
    <definedName name="SHARED_FORMULA_1611">#N/A</definedName>
    <definedName name="SHARED_FORMULA_1612">#N/A</definedName>
    <definedName name="SHARED_FORMULA_1613">#N/A</definedName>
    <definedName name="SHARED_FORMULA_1614">#N/A</definedName>
    <definedName name="SHARED_FORMULA_1615">#N/A</definedName>
    <definedName name="SHARED_FORMULA_1616">#N/A</definedName>
    <definedName name="SHARED_FORMULA_1617">#N/A</definedName>
    <definedName name="SHARED_FORMULA_1618">#N/A</definedName>
    <definedName name="SHARED_FORMULA_1619">#N/A</definedName>
    <definedName name="SHARED_FORMULA_162">#N/A</definedName>
    <definedName name="SHARED_FORMULA_1620">#N/A</definedName>
    <definedName name="SHARED_FORMULA_1621">#N/A</definedName>
    <definedName name="SHARED_FORMULA_1622">#N/A</definedName>
    <definedName name="SHARED_FORMULA_1623">#N/A</definedName>
    <definedName name="SHARED_FORMULA_1624">#N/A</definedName>
    <definedName name="SHARED_FORMULA_1625">#N/A</definedName>
    <definedName name="SHARED_FORMULA_1626">#N/A</definedName>
    <definedName name="SHARED_FORMULA_1627">#N/A</definedName>
    <definedName name="SHARED_FORMULA_1628">#N/A</definedName>
    <definedName name="SHARED_FORMULA_1629">#N/A</definedName>
    <definedName name="SHARED_FORMULA_163">#N/A</definedName>
    <definedName name="SHARED_FORMULA_1630">#N/A</definedName>
    <definedName name="SHARED_FORMULA_1631">#N/A</definedName>
    <definedName name="SHARED_FORMULA_1632">#N/A</definedName>
    <definedName name="SHARED_FORMULA_1633">#N/A</definedName>
    <definedName name="SHARED_FORMULA_1634">#N/A</definedName>
    <definedName name="SHARED_FORMULA_1635">#N/A</definedName>
    <definedName name="SHARED_FORMULA_1636">#N/A</definedName>
    <definedName name="SHARED_FORMULA_1637">#N/A</definedName>
    <definedName name="SHARED_FORMULA_1638">#N/A</definedName>
    <definedName name="SHARED_FORMULA_1639">#N/A</definedName>
    <definedName name="SHARED_FORMULA_164">#N/A</definedName>
    <definedName name="SHARED_FORMULA_1640">#N/A</definedName>
    <definedName name="SHARED_FORMULA_1641">#N/A</definedName>
    <definedName name="SHARED_FORMULA_1642">#N/A</definedName>
    <definedName name="SHARED_FORMULA_1643">#N/A</definedName>
    <definedName name="SHARED_FORMULA_1644">#N/A</definedName>
    <definedName name="SHARED_FORMULA_1645">#N/A</definedName>
    <definedName name="SHARED_FORMULA_1646">#N/A</definedName>
    <definedName name="SHARED_FORMULA_1647">#N/A</definedName>
    <definedName name="SHARED_FORMULA_1648">#N/A</definedName>
    <definedName name="SHARED_FORMULA_1649">#N/A</definedName>
    <definedName name="SHARED_FORMULA_165">#N/A</definedName>
    <definedName name="SHARED_FORMULA_1650">#N/A</definedName>
    <definedName name="SHARED_FORMULA_1651">#N/A</definedName>
    <definedName name="SHARED_FORMULA_1652">#N/A</definedName>
    <definedName name="SHARED_FORMULA_1653">#N/A</definedName>
    <definedName name="SHARED_FORMULA_1654">#N/A</definedName>
    <definedName name="SHARED_FORMULA_1655">#N/A</definedName>
    <definedName name="SHARED_FORMULA_1656">#N/A</definedName>
    <definedName name="SHARED_FORMULA_1657">#N/A</definedName>
    <definedName name="SHARED_FORMULA_1658">#N/A</definedName>
    <definedName name="SHARED_FORMULA_1659">#N/A</definedName>
    <definedName name="SHARED_FORMULA_166">#N/A</definedName>
    <definedName name="SHARED_FORMULA_1660">#N/A</definedName>
    <definedName name="SHARED_FORMULA_1661">#N/A</definedName>
    <definedName name="SHARED_FORMULA_1662">#N/A</definedName>
    <definedName name="SHARED_FORMULA_1663">#N/A</definedName>
    <definedName name="SHARED_FORMULA_1664">#N/A</definedName>
    <definedName name="SHARED_FORMULA_1665">#N/A</definedName>
    <definedName name="SHARED_FORMULA_1666">#N/A</definedName>
    <definedName name="SHARED_FORMULA_1667">#N/A</definedName>
    <definedName name="SHARED_FORMULA_1668">#N/A</definedName>
    <definedName name="SHARED_FORMULA_1669">#N/A</definedName>
    <definedName name="SHARED_FORMULA_167">#N/A</definedName>
    <definedName name="SHARED_FORMULA_1670">#N/A</definedName>
    <definedName name="SHARED_FORMULA_1671">#N/A</definedName>
    <definedName name="SHARED_FORMULA_1672">#N/A</definedName>
    <definedName name="SHARED_FORMULA_1673">#N/A</definedName>
    <definedName name="SHARED_FORMULA_1674">#N/A</definedName>
    <definedName name="SHARED_FORMULA_1675">#N/A</definedName>
    <definedName name="SHARED_FORMULA_1676">#N/A</definedName>
    <definedName name="SHARED_FORMULA_1677">#N/A</definedName>
    <definedName name="SHARED_FORMULA_1678">#N/A</definedName>
    <definedName name="SHARED_FORMULA_1679">#N/A</definedName>
    <definedName name="SHARED_FORMULA_168">#N/A</definedName>
    <definedName name="SHARED_FORMULA_1680">#N/A</definedName>
    <definedName name="SHARED_FORMULA_1681">#N/A</definedName>
    <definedName name="SHARED_FORMULA_1682">#N/A</definedName>
    <definedName name="SHARED_FORMULA_1683">#N/A</definedName>
    <definedName name="SHARED_FORMULA_1684">#N/A</definedName>
    <definedName name="SHARED_FORMULA_1685">#N/A</definedName>
    <definedName name="SHARED_FORMULA_1686">#N/A</definedName>
    <definedName name="SHARED_FORMULA_1687">#N/A</definedName>
    <definedName name="SHARED_FORMULA_1688">#N/A</definedName>
    <definedName name="SHARED_FORMULA_1689">#N/A</definedName>
    <definedName name="SHARED_FORMULA_169">#N/A</definedName>
    <definedName name="SHARED_FORMULA_1690">#N/A</definedName>
    <definedName name="SHARED_FORMULA_1691">#N/A</definedName>
    <definedName name="SHARED_FORMULA_1692">#N/A</definedName>
    <definedName name="SHARED_FORMULA_1693">#N/A</definedName>
    <definedName name="SHARED_FORMULA_1694">#N/A</definedName>
    <definedName name="SHARED_FORMULA_1695">#N/A</definedName>
    <definedName name="SHARED_FORMULA_1696">#N/A</definedName>
    <definedName name="SHARED_FORMULA_1697">#N/A</definedName>
    <definedName name="SHARED_FORMULA_1698">#N/A</definedName>
    <definedName name="SHARED_FORMULA_1699">#N/A</definedName>
    <definedName name="SHARED_FORMULA_17">#N/A</definedName>
    <definedName name="SHARED_FORMULA_170">#N/A</definedName>
    <definedName name="SHARED_FORMULA_1700">#N/A</definedName>
    <definedName name="SHARED_FORMULA_1701">#N/A</definedName>
    <definedName name="SHARED_FORMULA_1702">#N/A</definedName>
    <definedName name="SHARED_FORMULA_1703">#N/A</definedName>
    <definedName name="SHARED_FORMULA_1704">#N/A</definedName>
    <definedName name="SHARED_FORMULA_1705">#N/A</definedName>
    <definedName name="SHARED_FORMULA_1706">#N/A</definedName>
    <definedName name="SHARED_FORMULA_1707">#N/A</definedName>
    <definedName name="SHARED_FORMULA_1708">#N/A</definedName>
    <definedName name="SHARED_FORMULA_1709">#N/A</definedName>
    <definedName name="SHARED_FORMULA_171">#N/A</definedName>
    <definedName name="SHARED_FORMULA_1710">#N/A</definedName>
    <definedName name="SHARED_FORMULA_1711">#N/A</definedName>
    <definedName name="SHARED_FORMULA_1712">#N/A</definedName>
    <definedName name="SHARED_FORMULA_1713">#N/A</definedName>
    <definedName name="SHARED_FORMULA_1714">#N/A</definedName>
    <definedName name="SHARED_FORMULA_1715">#N/A</definedName>
    <definedName name="SHARED_FORMULA_1716">#N/A</definedName>
    <definedName name="SHARED_FORMULA_1717">#N/A</definedName>
    <definedName name="SHARED_FORMULA_1718">#N/A</definedName>
    <definedName name="SHARED_FORMULA_1719">#N/A</definedName>
    <definedName name="SHARED_FORMULA_172">#N/A</definedName>
    <definedName name="SHARED_FORMULA_1720">#N/A</definedName>
    <definedName name="SHARED_FORMULA_1721">#N/A</definedName>
    <definedName name="SHARED_FORMULA_1722">#N/A</definedName>
    <definedName name="SHARED_FORMULA_1723">#N/A</definedName>
    <definedName name="SHARED_FORMULA_1724">#N/A</definedName>
    <definedName name="SHARED_FORMULA_1725">#N/A</definedName>
    <definedName name="SHARED_FORMULA_1726">#N/A</definedName>
    <definedName name="SHARED_FORMULA_1727">#N/A</definedName>
    <definedName name="SHARED_FORMULA_1728">#N/A</definedName>
    <definedName name="SHARED_FORMULA_1729">#N/A</definedName>
    <definedName name="SHARED_FORMULA_173">#N/A</definedName>
    <definedName name="SHARED_FORMULA_1730">#N/A</definedName>
    <definedName name="SHARED_FORMULA_1731">#N/A</definedName>
    <definedName name="SHARED_FORMULA_1732">#N/A</definedName>
    <definedName name="SHARED_FORMULA_1733">#N/A</definedName>
    <definedName name="SHARED_FORMULA_1734">#N/A</definedName>
    <definedName name="SHARED_FORMULA_1735">#N/A</definedName>
    <definedName name="SHARED_FORMULA_1736">#N/A</definedName>
    <definedName name="SHARED_FORMULA_1737">#N/A</definedName>
    <definedName name="SHARED_FORMULA_1738">#N/A</definedName>
    <definedName name="SHARED_FORMULA_1739">#N/A</definedName>
    <definedName name="SHARED_FORMULA_174">#N/A</definedName>
    <definedName name="SHARED_FORMULA_1740">#N/A</definedName>
    <definedName name="SHARED_FORMULA_1741">#N/A</definedName>
    <definedName name="SHARED_FORMULA_1742">#N/A</definedName>
    <definedName name="SHARED_FORMULA_1743">#N/A</definedName>
    <definedName name="SHARED_FORMULA_1744">#N/A</definedName>
    <definedName name="SHARED_FORMULA_1745">#N/A</definedName>
    <definedName name="SHARED_FORMULA_1746">#N/A</definedName>
    <definedName name="SHARED_FORMULA_1747">#N/A</definedName>
    <definedName name="SHARED_FORMULA_1748">#N/A</definedName>
    <definedName name="SHARED_FORMULA_1749">#N/A</definedName>
    <definedName name="SHARED_FORMULA_175">#N/A</definedName>
    <definedName name="SHARED_FORMULA_1750">#N/A</definedName>
    <definedName name="SHARED_FORMULA_1751">#N/A</definedName>
    <definedName name="SHARED_FORMULA_1752">#N/A</definedName>
    <definedName name="SHARED_FORMULA_1753">#N/A</definedName>
    <definedName name="SHARED_FORMULA_1754">#N/A</definedName>
    <definedName name="SHARED_FORMULA_1755">#N/A</definedName>
    <definedName name="SHARED_FORMULA_1756">#N/A</definedName>
    <definedName name="SHARED_FORMULA_1757">#N/A</definedName>
    <definedName name="SHARED_FORMULA_1758">#N/A</definedName>
    <definedName name="SHARED_FORMULA_1759">#N/A</definedName>
    <definedName name="SHARED_FORMULA_176">#N/A</definedName>
    <definedName name="SHARED_FORMULA_1760">#N/A</definedName>
    <definedName name="SHARED_FORMULA_1761">#N/A</definedName>
    <definedName name="SHARED_FORMULA_1762">#N/A</definedName>
    <definedName name="SHARED_FORMULA_1763">#N/A</definedName>
    <definedName name="SHARED_FORMULA_1764">#N/A</definedName>
    <definedName name="SHARED_FORMULA_1765">#N/A</definedName>
    <definedName name="SHARED_FORMULA_1766">#N/A</definedName>
    <definedName name="SHARED_FORMULA_1767">#N/A</definedName>
    <definedName name="SHARED_FORMULA_1768">#N/A</definedName>
    <definedName name="SHARED_FORMULA_1769">#N/A</definedName>
    <definedName name="SHARED_FORMULA_177">#N/A</definedName>
    <definedName name="SHARED_FORMULA_1770">#N/A</definedName>
    <definedName name="SHARED_FORMULA_1771">#N/A</definedName>
    <definedName name="SHARED_FORMULA_1772">#N/A</definedName>
    <definedName name="SHARED_FORMULA_1773">#N/A</definedName>
    <definedName name="SHARED_FORMULA_1774">#N/A</definedName>
    <definedName name="SHARED_FORMULA_1775">#N/A</definedName>
    <definedName name="SHARED_FORMULA_1776">#N/A</definedName>
    <definedName name="SHARED_FORMULA_1777">#N/A</definedName>
    <definedName name="SHARED_FORMULA_1778">#N/A</definedName>
    <definedName name="SHARED_FORMULA_1779">#N/A</definedName>
    <definedName name="SHARED_FORMULA_178">#N/A</definedName>
    <definedName name="SHARED_FORMULA_1780">#N/A</definedName>
    <definedName name="SHARED_FORMULA_1781">#N/A</definedName>
    <definedName name="SHARED_FORMULA_1782">#N/A</definedName>
    <definedName name="SHARED_FORMULA_1783">#N/A</definedName>
    <definedName name="SHARED_FORMULA_1784">#N/A</definedName>
    <definedName name="SHARED_FORMULA_1785">#N/A</definedName>
    <definedName name="SHARED_FORMULA_1786">#N/A</definedName>
    <definedName name="SHARED_FORMULA_1787">#N/A</definedName>
    <definedName name="SHARED_FORMULA_1788">#N/A</definedName>
    <definedName name="SHARED_FORMULA_1789">#N/A</definedName>
    <definedName name="SHARED_FORMULA_179">#N/A</definedName>
    <definedName name="SHARED_FORMULA_1790">#N/A</definedName>
    <definedName name="SHARED_FORMULA_1791">#N/A</definedName>
    <definedName name="SHARED_FORMULA_1792">#N/A</definedName>
    <definedName name="SHARED_FORMULA_1793">#N/A</definedName>
    <definedName name="SHARED_FORMULA_1794">#N/A</definedName>
    <definedName name="SHARED_FORMULA_1795">#N/A</definedName>
    <definedName name="SHARED_FORMULA_1796">#N/A</definedName>
    <definedName name="SHARED_FORMULA_1797">#N/A</definedName>
    <definedName name="SHARED_FORMULA_1798">#N/A</definedName>
    <definedName name="SHARED_FORMULA_1799">#N/A</definedName>
    <definedName name="SHARED_FORMULA_18">#N/A</definedName>
    <definedName name="SHARED_FORMULA_180">#N/A</definedName>
    <definedName name="SHARED_FORMULA_1800">#N/A</definedName>
    <definedName name="SHARED_FORMULA_1801">#N/A</definedName>
    <definedName name="SHARED_FORMULA_1802">#N/A</definedName>
    <definedName name="SHARED_FORMULA_1803">#N/A</definedName>
    <definedName name="SHARED_FORMULA_1804">#N/A</definedName>
    <definedName name="SHARED_FORMULA_1805">#N/A</definedName>
    <definedName name="SHARED_FORMULA_1806">#N/A</definedName>
    <definedName name="SHARED_FORMULA_1807">#N/A</definedName>
    <definedName name="SHARED_FORMULA_1808">#N/A</definedName>
    <definedName name="SHARED_FORMULA_1809">#N/A</definedName>
    <definedName name="SHARED_FORMULA_181">#N/A</definedName>
    <definedName name="SHARED_FORMULA_1810">#N/A</definedName>
    <definedName name="SHARED_FORMULA_1811">#N/A</definedName>
    <definedName name="SHARED_FORMULA_1812">#N/A</definedName>
    <definedName name="SHARED_FORMULA_1813">#N/A</definedName>
    <definedName name="SHARED_FORMULA_1814">#N/A</definedName>
    <definedName name="SHARED_FORMULA_1815">#N/A</definedName>
    <definedName name="SHARED_FORMULA_1816">#N/A</definedName>
    <definedName name="SHARED_FORMULA_1817">#N/A</definedName>
    <definedName name="SHARED_FORMULA_1818">#N/A</definedName>
    <definedName name="SHARED_FORMULA_1819">#N/A</definedName>
    <definedName name="SHARED_FORMULA_182">#N/A</definedName>
    <definedName name="SHARED_FORMULA_1820">#N/A</definedName>
    <definedName name="SHARED_FORMULA_1821">#N/A</definedName>
    <definedName name="SHARED_FORMULA_1822">#N/A</definedName>
    <definedName name="SHARED_FORMULA_1823">#N/A</definedName>
    <definedName name="SHARED_FORMULA_1824">#N/A</definedName>
    <definedName name="SHARED_FORMULA_1825">#N/A</definedName>
    <definedName name="SHARED_FORMULA_1826">#N/A</definedName>
    <definedName name="SHARED_FORMULA_1827">#N/A</definedName>
    <definedName name="SHARED_FORMULA_1828">#N/A</definedName>
    <definedName name="SHARED_FORMULA_1829">#N/A</definedName>
    <definedName name="SHARED_FORMULA_183">#N/A</definedName>
    <definedName name="SHARED_FORMULA_1830">#N/A</definedName>
    <definedName name="SHARED_FORMULA_1831">#N/A</definedName>
    <definedName name="SHARED_FORMULA_1832">#N/A</definedName>
    <definedName name="SHARED_FORMULA_1833">#N/A</definedName>
    <definedName name="SHARED_FORMULA_1834">#N/A</definedName>
    <definedName name="SHARED_FORMULA_1835">#N/A</definedName>
    <definedName name="SHARED_FORMULA_1836">#N/A</definedName>
    <definedName name="SHARED_FORMULA_1837">#N/A</definedName>
    <definedName name="SHARED_FORMULA_1838">#N/A</definedName>
    <definedName name="SHARED_FORMULA_1839">#N/A</definedName>
    <definedName name="SHARED_FORMULA_184">#N/A</definedName>
    <definedName name="SHARED_FORMULA_1840">#N/A</definedName>
    <definedName name="SHARED_FORMULA_1841">#N/A</definedName>
    <definedName name="SHARED_FORMULA_1842">#N/A</definedName>
    <definedName name="SHARED_FORMULA_1843">#N/A</definedName>
    <definedName name="SHARED_FORMULA_1844">#N/A</definedName>
    <definedName name="SHARED_FORMULA_1845">#N/A</definedName>
    <definedName name="SHARED_FORMULA_1846">#N/A</definedName>
    <definedName name="SHARED_FORMULA_1847">#N/A</definedName>
    <definedName name="SHARED_FORMULA_1848">#N/A</definedName>
    <definedName name="SHARED_FORMULA_1849">#N/A</definedName>
    <definedName name="SHARED_FORMULA_185">#N/A</definedName>
    <definedName name="SHARED_FORMULA_1850">#N/A</definedName>
    <definedName name="SHARED_FORMULA_1851">#N/A</definedName>
    <definedName name="SHARED_FORMULA_1852">#N/A</definedName>
    <definedName name="SHARED_FORMULA_1853">#N/A</definedName>
    <definedName name="SHARED_FORMULA_1854">#N/A</definedName>
    <definedName name="SHARED_FORMULA_1855">#N/A</definedName>
    <definedName name="SHARED_FORMULA_1856">#N/A</definedName>
    <definedName name="SHARED_FORMULA_1857">#N/A</definedName>
    <definedName name="SHARED_FORMULA_1858">#N/A</definedName>
    <definedName name="SHARED_FORMULA_1859">#N/A</definedName>
    <definedName name="SHARED_FORMULA_186">#N/A</definedName>
    <definedName name="SHARED_FORMULA_1860">#N/A</definedName>
    <definedName name="SHARED_FORMULA_1861">#N/A</definedName>
    <definedName name="SHARED_FORMULA_1862">#N/A</definedName>
    <definedName name="SHARED_FORMULA_1863">#N/A</definedName>
    <definedName name="SHARED_FORMULA_1864">#N/A</definedName>
    <definedName name="SHARED_FORMULA_1865">#N/A</definedName>
    <definedName name="SHARED_FORMULA_1866">#N/A</definedName>
    <definedName name="SHARED_FORMULA_1867">#N/A</definedName>
    <definedName name="SHARED_FORMULA_1868">#N/A</definedName>
    <definedName name="SHARED_FORMULA_1869">#N/A</definedName>
    <definedName name="SHARED_FORMULA_187">#N/A</definedName>
    <definedName name="SHARED_FORMULA_1870">#N/A</definedName>
    <definedName name="SHARED_FORMULA_1871">#N/A</definedName>
    <definedName name="SHARED_FORMULA_1872">#N/A</definedName>
    <definedName name="SHARED_FORMULA_1873">#N/A</definedName>
    <definedName name="SHARED_FORMULA_1874">#N/A</definedName>
    <definedName name="SHARED_FORMULA_1875">#N/A</definedName>
    <definedName name="SHARED_FORMULA_1876">#N/A</definedName>
    <definedName name="SHARED_FORMULA_1877">#N/A</definedName>
    <definedName name="SHARED_FORMULA_1878">#N/A</definedName>
    <definedName name="SHARED_FORMULA_1879">#N/A</definedName>
    <definedName name="SHARED_FORMULA_188">#N/A</definedName>
    <definedName name="SHARED_FORMULA_1880">#N/A</definedName>
    <definedName name="SHARED_FORMULA_1881">#N/A</definedName>
    <definedName name="SHARED_FORMULA_1882">#N/A</definedName>
    <definedName name="SHARED_FORMULA_1883">#N/A</definedName>
    <definedName name="SHARED_FORMULA_1884">#N/A</definedName>
    <definedName name="SHARED_FORMULA_1885">#N/A</definedName>
    <definedName name="SHARED_FORMULA_1886">#N/A</definedName>
    <definedName name="SHARED_FORMULA_1887">#N/A</definedName>
    <definedName name="SHARED_FORMULA_1888">#N/A</definedName>
    <definedName name="SHARED_FORMULA_1889">#N/A</definedName>
    <definedName name="SHARED_FORMULA_189">#N/A</definedName>
    <definedName name="SHARED_FORMULA_1890">#N/A</definedName>
    <definedName name="SHARED_FORMULA_1891">#N/A</definedName>
    <definedName name="SHARED_FORMULA_1892">#N/A</definedName>
    <definedName name="SHARED_FORMULA_1893">#N/A</definedName>
    <definedName name="SHARED_FORMULA_1894">#N/A</definedName>
    <definedName name="SHARED_FORMULA_1895">#N/A</definedName>
    <definedName name="SHARED_FORMULA_1896">#N/A</definedName>
    <definedName name="SHARED_FORMULA_1897">#N/A</definedName>
    <definedName name="SHARED_FORMULA_1898">#N/A</definedName>
    <definedName name="SHARED_FORMULA_1899">#N/A</definedName>
    <definedName name="SHARED_FORMULA_19">#N/A</definedName>
    <definedName name="SHARED_FORMULA_190">#N/A</definedName>
    <definedName name="SHARED_FORMULA_1900">#N/A</definedName>
    <definedName name="SHARED_FORMULA_1901">#N/A</definedName>
    <definedName name="SHARED_FORMULA_1902">#N/A</definedName>
    <definedName name="SHARED_FORMULA_1903">#N/A</definedName>
    <definedName name="SHARED_FORMULA_1904">#N/A</definedName>
    <definedName name="SHARED_FORMULA_1905">#N/A</definedName>
    <definedName name="SHARED_FORMULA_1906">#N/A</definedName>
    <definedName name="SHARED_FORMULA_1907">#N/A</definedName>
    <definedName name="SHARED_FORMULA_1908">#N/A</definedName>
    <definedName name="SHARED_FORMULA_1909">#N/A</definedName>
    <definedName name="SHARED_FORMULA_191">#N/A</definedName>
    <definedName name="SHARED_FORMULA_1910">#N/A</definedName>
    <definedName name="SHARED_FORMULA_1911">#N/A</definedName>
    <definedName name="SHARED_FORMULA_1912">#N/A</definedName>
    <definedName name="SHARED_FORMULA_1913">#N/A</definedName>
    <definedName name="SHARED_FORMULA_1914">#N/A</definedName>
    <definedName name="SHARED_FORMULA_1915">#N/A</definedName>
    <definedName name="SHARED_FORMULA_1916">#N/A</definedName>
    <definedName name="SHARED_FORMULA_1917">#N/A</definedName>
    <definedName name="SHARED_FORMULA_1918">#N/A</definedName>
    <definedName name="SHARED_FORMULA_1919">#N/A</definedName>
    <definedName name="SHARED_FORMULA_192">#N/A</definedName>
    <definedName name="SHARED_FORMULA_1920">#N/A</definedName>
    <definedName name="SHARED_FORMULA_1921">#N/A</definedName>
    <definedName name="SHARED_FORMULA_1922">#N/A</definedName>
    <definedName name="SHARED_FORMULA_1923">#N/A</definedName>
    <definedName name="SHARED_FORMULA_1924">#N/A</definedName>
    <definedName name="SHARED_FORMULA_1925">#N/A</definedName>
    <definedName name="SHARED_FORMULA_1926">#N/A</definedName>
    <definedName name="SHARED_FORMULA_1927">#N/A</definedName>
    <definedName name="SHARED_FORMULA_1928">#N/A</definedName>
    <definedName name="SHARED_FORMULA_1929">#N/A</definedName>
    <definedName name="SHARED_FORMULA_193">#N/A</definedName>
    <definedName name="SHARED_FORMULA_1930">#N/A</definedName>
    <definedName name="SHARED_FORMULA_1931">#N/A</definedName>
    <definedName name="SHARED_FORMULA_1932">#N/A</definedName>
    <definedName name="SHARED_FORMULA_1933">#N/A</definedName>
    <definedName name="SHARED_FORMULA_1934">#N/A</definedName>
    <definedName name="SHARED_FORMULA_1935">#N/A</definedName>
    <definedName name="SHARED_FORMULA_1936">#N/A</definedName>
    <definedName name="SHARED_FORMULA_1937">#N/A</definedName>
    <definedName name="SHARED_FORMULA_1938">#N/A</definedName>
    <definedName name="SHARED_FORMULA_1939">#N/A</definedName>
    <definedName name="SHARED_FORMULA_194">#N/A</definedName>
    <definedName name="SHARED_FORMULA_1940">#N/A</definedName>
    <definedName name="SHARED_FORMULA_1941">#N/A</definedName>
    <definedName name="SHARED_FORMULA_1942">#N/A</definedName>
    <definedName name="SHARED_FORMULA_1943">#N/A</definedName>
    <definedName name="SHARED_FORMULA_1944">#N/A</definedName>
    <definedName name="SHARED_FORMULA_1945">#N/A</definedName>
    <definedName name="SHARED_FORMULA_1946">#N/A</definedName>
    <definedName name="SHARED_FORMULA_1947">#N/A</definedName>
    <definedName name="SHARED_FORMULA_1948">#N/A</definedName>
    <definedName name="SHARED_FORMULA_1949">#N/A</definedName>
    <definedName name="SHARED_FORMULA_195">#N/A</definedName>
    <definedName name="SHARED_FORMULA_1950">#N/A</definedName>
    <definedName name="SHARED_FORMULA_1951">#N/A</definedName>
    <definedName name="SHARED_FORMULA_1952">#N/A</definedName>
    <definedName name="SHARED_FORMULA_1953">#N/A</definedName>
    <definedName name="SHARED_FORMULA_1954">#N/A</definedName>
    <definedName name="SHARED_FORMULA_1955">#N/A</definedName>
    <definedName name="SHARED_FORMULA_1956">#N/A</definedName>
    <definedName name="SHARED_FORMULA_1957">#N/A</definedName>
    <definedName name="SHARED_FORMULA_1958">#N/A</definedName>
    <definedName name="SHARED_FORMULA_1959">#N/A</definedName>
    <definedName name="SHARED_FORMULA_196">#N/A</definedName>
    <definedName name="SHARED_FORMULA_1960">#N/A</definedName>
    <definedName name="SHARED_FORMULA_1961">#N/A</definedName>
    <definedName name="SHARED_FORMULA_1962">#N/A</definedName>
    <definedName name="SHARED_FORMULA_1963">#N/A</definedName>
    <definedName name="SHARED_FORMULA_1964">#N/A</definedName>
    <definedName name="SHARED_FORMULA_1965">#N/A</definedName>
    <definedName name="SHARED_FORMULA_1966">#N/A</definedName>
    <definedName name="SHARED_FORMULA_1967">#N/A</definedName>
    <definedName name="SHARED_FORMULA_1968">#N/A</definedName>
    <definedName name="SHARED_FORMULA_1969">#N/A</definedName>
    <definedName name="SHARED_FORMULA_197">#N/A</definedName>
    <definedName name="SHARED_FORMULA_1970">#N/A</definedName>
    <definedName name="SHARED_FORMULA_1971">#N/A</definedName>
    <definedName name="SHARED_FORMULA_1972">#N/A</definedName>
    <definedName name="SHARED_FORMULA_1973">#N/A</definedName>
    <definedName name="SHARED_FORMULA_1974">#N/A</definedName>
    <definedName name="SHARED_FORMULA_1975">#N/A</definedName>
    <definedName name="SHARED_FORMULA_1976">#N/A</definedName>
    <definedName name="SHARED_FORMULA_1977">#N/A</definedName>
    <definedName name="SHARED_FORMULA_1978">#N/A</definedName>
    <definedName name="SHARED_FORMULA_1979">#N/A</definedName>
    <definedName name="SHARED_FORMULA_198">#N/A</definedName>
    <definedName name="SHARED_FORMULA_1980">#N/A</definedName>
    <definedName name="SHARED_FORMULA_1981">#N/A</definedName>
    <definedName name="SHARED_FORMULA_1982">#N/A</definedName>
    <definedName name="SHARED_FORMULA_1983">#N/A</definedName>
    <definedName name="SHARED_FORMULA_1984">#N/A</definedName>
    <definedName name="SHARED_FORMULA_1985">#N/A</definedName>
    <definedName name="SHARED_FORMULA_1986">#N/A</definedName>
    <definedName name="SHARED_FORMULA_1987">#N/A</definedName>
    <definedName name="SHARED_FORMULA_1988">#N/A</definedName>
    <definedName name="SHARED_FORMULA_1989">#N/A</definedName>
    <definedName name="SHARED_FORMULA_199">#N/A</definedName>
    <definedName name="SHARED_FORMULA_1990">#N/A</definedName>
    <definedName name="SHARED_FORMULA_1991">#N/A</definedName>
    <definedName name="SHARED_FORMULA_1992">#N/A</definedName>
    <definedName name="SHARED_FORMULA_1993">#N/A</definedName>
    <definedName name="SHARED_FORMULA_1994">#N/A</definedName>
    <definedName name="SHARED_FORMULA_1995">#N/A</definedName>
    <definedName name="SHARED_FORMULA_1996">#N/A</definedName>
    <definedName name="SHARED_FORMULA_1997">#N/A</definedName>
    <definedName name="SHARED_FORMULA_1998">#N/A</definedName>
    <definedName name="SHARED_FORMULA_1999">#N/A</definedName>
    <definedName name="SHARED_FORMULA_2">#N/A</definedName>
    <definedName name="SHARED_FORMULA_20">#N/A</definedName>
    <definedName name="SHARED_FORMULA_200">#N/A</definedName>
    <definedName name="SHARED_FORMULA_2000">#N/A</definedName>
    <definedName name="SHARED_FORMULA_2001">#N/A</definedName>
    <definedName name="SHARED_FORMULA_2002">#N/A</definedName>
    <definedName name="SHARED_FORMULA_2003">#N/A</definedName>
    <definedName name="SHARED_FORMULA_2004">#N/A</definedName>
    <definedName name="SHARED_FORMULA_2005">#N/A</definedName>
    <definedName name="SHARED_FORMULA_2006">#N/A</definedName>
    <definedName name="SHARED_FORMULA_2007">#N/A</definedName>
    <definedName name="SHARED_FORMULA_2008">#N/A</definedName>
    <definedName name="SHARED_FORMULA_2009">#N/A</definedName>
    <definedName name="SHARED_FORMULA_201">#N/A</definedName>
    <definedName name="SHARED_FORMULA_2010">#N/A</definedName>
    <definedName name="SHARED_FORMULA_2011">#N/A</definedName>
    <definedName name="SHARED_FORMULA_2012">#N/A</definedName>
    <definedName name="SHARED_FORMULA_2013">#N/A</definedName>
    <definedName name="SHARED_FORMULA_2014">#N/A</definedName>
    <definedName name="SHARED_FORMULA_2015">#N/A</definedName>
    <definedName name="SHARED_FORMULA_2016">#N/A</definedName>
    <definedName name="SHARED_FORMULA_2017">#N/A</definedName>
    <definedName name="SHARED_FORMULA_2018">#N/A</definedName>
    <definedName name="SHARED_FORMULA_2019">#N/A</definedName>
    <definedName name="SHARED_FORMULA_202">#N/A</definedName>
    <definedName name="SHARED_FORMULA_2020">#N/A</definedName>
    <definedName name="SHARED_FORMULA_2021">#N/A</definedName>
    <definedName name="SHARED_FORMULA_2022">#N/A</definedName>
    <definedName name="SHARED_FORMULA_2023">#N/A</definedName>
    <definedName name="SHARED_FORMULA_2024">#N/A</definedName>
    <definedName name="SHARED_FORMULA_2025">#N/A</definedName>
    <definedName name="SHARED_FORMULA_2026">#N/A</definedName>
    <definedName name="SHARED_FORMULA_2027">#N/A</definedName>
    <definedName name="SHARED_FORMULA_2028">#N/A</definedName>
    <definedName name="SHARED_FORMULA_2029">#N/A</definedName>
    <definedName name="SHARED_FORMULA_203">#N/A</definedName>
    <definedName name="SHARED_FORMULA_2030">#N/A</definedName>
    <definedName name="SHARED_FORMULA_2031">#N/A</definedName>
    <definedName name="SHARED_FORMULA_2032">#N/A</definedName>
    <definedName name="SHARED_FORMULA_2033">#N/A</definedName>
    <definedName name="SHARED_FORMULA_2034">#N/A</definedName>
    <definedName name="SHARED_FORMULA_2035">#N/A</definedName>
    <definedName name="SHARED_FORMULA_2036">#N/A</definedName>
    <definedName name="SHARED_FORMULA_2037">#N/A</definedName>
    <definedName name="SHARED_FORMULA_2038">#N/A</definedName>
    <definedName name="SHARED_FORMULA_2039">#N/A</definedName>
    <definedName name="SHARED_FORMULA_204">#N/A</definedName>
    <definedName name="SHARED_FORMULA_2040">#N/A</definedName>
    <definedName name="SHARED_FORMULA_2041">#N/A</definedName>
    <definedName name="SHARED_FORMULA_2042">#N/A</definedName>
    <definedName name="SHARED_FORMULA_2043">#N/A</definedName>
    <definedName name="SHARED_FORMULA_2044">#N/A</definedName>
    <definedName name="SHARED_FORMULA_2045">#N/A</definedName>
    <definedName name="SHARED_FORMULA_2046">#N/A</definedName>
    <definedName name="SHARED_FORMULA_2047">#N/A</definedName>
    <definedName name="SHARED_FORMULA_2048">#N/A</definedName>
    <definedName name="SHARED_FORMULA_2049">#N/A</definedName>
    <definedName name="SHARED_FORMULA_205">#N/A</definedName>
    <definedName name="SHARED_FORMULA_2050">#N/A</definedName>
    <definedName name="SHARED_FORMULA_2051">#N/A</definedName>
    <definedName name="SHARED_FORMULA_2052">#N/A</definedName>
    <definedName name="SHARED_FORMULA_2053">#N/A</definedName>
    <definedName name="SHARED_FORMULA_2054">#N/A</definedName>
    <definedName name="SHARED_FORMULA_2055">#N/A</definedName>
    <definedName name="SHARED_FORMULA_2056">#N/A</definedName>
    <definedName name="SHARED_FORMULA_2057">#N/A</definedName>
    <definedName name="SHARED_FORMULA_2058">#N/A</definedName>
    <definedName name="SHARED_FORMULA_2059">#N/A</definedName>
    <definedName name="SHARED_FORMULA_206">#N/A</definedName>
    <definedName name="SHARED_FORMULA_2060">#N/A</definedName>
    <definedName name="SHARED_FORMULA_2061">#N/A</definedName>
    <definedName name="SHARED_FORMULA_2062">#N/A</definedName>
    <definedName name="SHARED_FORMULA_2063">#N/A</definedName>
    <definedName name="SHARED_FORMULA_2064">#N/A</definedName>
    <definedName name="SHARED_FORMULA_2065">#N/A</definedName>
    <definedName name="SHARED_FORMULA_2066">#N/A</definedName>
    <definedName name="SHARED_FORMULA_2067">#N/A</definedName>
    <definedName name="SHARED_FORMULA_2068">#N/A</definedName>
    <definedName name="SHARED_FORMULA_2069">#N/A</definedName>
    <definedName name="SHARED_FORMULA_207">#N/A</definedName>
    <definedName name="SHARED_FORMULA_2070">#N/A</definedName>
    <definedName name="SHARED_FORMULA_2071">#N/A</definedName>
    <definedName name="SHARED_FORMULA_2072">#N/A</definedName>
    <definedName name="SHARED_FORMULA_2073">#N/A</definedName>
    <definedName name="SHARED_FORMULA_2074">#N/A</definedName>
    <definedName name="SHARED_FORMULA_2075">#N/A</definedName>
    <definedName name="SHARED_FORMULA_2076">#N/A</definedName>
    <definedName name="SHARED_FORMULA_2077">#N/A</definedName>
    <definedName name="SHARED_FORMULA_2078">#N/A</definedName>
    <definedName name="SHARED_FORMULA_2079">#N/A</definedName>
    <definedName name="SHARED_FORMULA_208">#N/A</definedName>
    <definedName name="SHARED_FORMULA_2080">#N/A</definedName>
    <definedName name="SHARED_FORMULA_2081">#N/A</definedName>
    <definedName name="SHARED_FORMULA_2082">#N/A</definedName>
    <definedName name="SHARED_FORMULA_2083">#N/A</definedName>
    <definedName name="SHARED_FORMULA_2084">#N/A</definedName>
    <definedName name="SHARED_FORMULA_2085">#N/A</definedName>
    <definedName name="SHARED_FORMULA_2086">#N/A</definedName>
    <definedName name="SHARED_FORMULA_2087">#N/A</definedName>
    <definedName name="SHARED_FORMULA_2088">#N/A</definedName>
    <definedName name="SHARED_FORMULA_2089">#N/A</definedName>
    <definedName name="SHARED_FORMULA_209">#N/A</definedName>
    <definedName name="SHARED_FORMULA_2090">#N/A</definedName>
    <definedName name="SHARED_FORMULA_2091">#N/A</definedName>
    <definedName name="SHARED_FORMULA_2092">#N/A</definedName>
    <definedName name="SHARED_FORMULA_2093">#N/A</definedName>
    <definedName name="SHARED_FORMULA_2094">#N/A</definedName>
    <definedName name="SHARED_FORMULA_2095">#N/A</definedName>
    <definedName name="SHARED_FORMULA_2096">#N/A</definedName>
    <definedName name="SHARED_FORMULA_2097">#N/A</definedName>
    <definedName name="SHARED_FORMULA_2098">#N/A</definedName>
    <definedName name="SHARED_FORMULA_2099">#N/A</definedName>
    <definedName name="SHARED_FORMULA_21">#N/A</definedName>
    <definedName name="SHARED_FORMULA_210">#N/A</definedName>
    <definedName name="SHARED_FORMULA_2100">#N/A</definedName>
    <definedName name="SHARED_FORMULA_2101">#N/A</definedName>
    <definedName name="SHARED_FORMULA_2102">#N/A</definedName>
    <definedName name="SHARED_FORMULA_2103">#N/A</definedName>
    <definedName name="SHARED_FORMULA_2104">#N/A</definedName>
    <definedName name="SHARED_FORMULA_2105">#N/A</definedName>
    <definedName name="SHARED_FORMULA_2106">#N/A</definedName>
    <definedName name="SHARED_FORMULA_2107">#N/A</definedName>
    <definedName name="SHARED_FORMULA_2108">#N/A</definedName>
    <definedName name="SHARED_FORMULA_2109">#N/A</definedName>
    <definedName name="SHARED_FORMULA_211">#N/A</definedName>
    <definedName name="SHARED_FORMULA_2110">#N/A</definedName>
    <definedName name="SHARED_FORMULA_2111">#N/A</definedName>
    <definedName name="SHARED_FORMULA_2112">#N/A</definedName>
    <definedName name="SHARED_FORMULA_2113">#N/A</definedName>
    <definedName name="SHARED_FORMULA_2114">#N/A</definedName>
    <definedName name="SHARED_FORMULA_2115">#N/A</definedName>
    <definedName name="SHARED_FORMULA_2116">#N/A</definedName>
    <definedName name="SHARED_FORMULA_2117">#N/A</definedName>
    <definedName name="SHARED_FORMULA_2118">#N/A</definedName>
    <definedName name="SHARED_FORMULA_2119">#N/A</definedName>
    <definedName name="SHARED_FORMULA_212">#N/A</definedName>
    <definedName name="SHARED_FORMULA_2120">#N/A</definedName>
    <definedName name="SHARED_FORMULA_2121">#N/A</definedName>
    <definedName name="SHARED_FORMULA_2122">#N/A</definedName>
    <definedName name="SHARED_FORMULA_2123">#N/A</definedName>
    <definedName name="SHARED_FORMULA_2124">#N/A</definedName>
    <definedName name="SHARED_FORMULA_2125">#N/A</definedName>
    <definedName name="SHARED_FORMULA_2126">#N/A</definedName>
    <definedName name="SHARED_FORMULA_2127">#N/A</definedName>
    <definedName name="SHARED_FORMULA_2128">#N/A</definedName>
    <definedName name="SHARED_FORMULA_2129">#N/A</definedName>
    <definedName name="SHARED_FORMULA_213">#N/A</definedName>
    <definedName name="SHARED_FORMULA_2130">#N/A</definedName>
    <definedName name="SHARED_FORMULA_2131">#N/A</definedName>
    <definedName name="SHARED_FORMULA_2132">#N/A</definedName>
    <definedName name="SHARED_FORMULA_2133">#N/A</definedName>
    <definedName name="SHARED_FORMULA_2134">#N/A</definedName>
    <definedName name="SHARED_FORMULA_2135">#N/A</definedName>
    <definedName name="SHARED_FORMULA_2136">#N/A</definedName>
    <definedName name="SHARED_FORMULA_2137">#N/A</definedName>
    <definedName name="SHARED_FORMULA_2138">#N/A</definedName>
    <definedName name="SHARED_FORMULA_2139">#N/A</definedName>
    <definedName name="SHARED_FORMULA_214">#N/A</definedName>
    <definedName name="SHARED_FORMULA_2140">#N/A</definedName>
    <definedName name="SHARED_FORMULA_2141">#N/A</definedName>
    <definedName name="SHARED_FORMULA_2142">#N/A</definedName>
    <definedName name="SHARED_FORMULA_2143">#N/A</definedName>
    <definedName name="SHARED_FORMULA_2144">#N/A</definedName>
    <definedName name="SHARED_FORMULA_2145">#N/A</definedName>
    <definedName name="SHARED_FORMULA_2146">#N/A</definedName>
    <definedName name="SHARED_FORMULA_2147">#N/A</definedName>
    <definedName name="SHARED_FORMULA_2148">#N/A</definedName>
    <definedName name="SHARED_FORMULA_2149">#N/A</definedName>
    <definedName name="SHARED_FORMULA_215">#N/A</definedName>
    <definedName name="SHARED_FORMULA_2150">#N/A</definedName>
    <definedName name="SHARED_FORMULA_2151">#N/A</definedName>
    <definedName name="SHARED_FORMULA_2152">#N/A</definedName>
    <definedName name="SHARED_FORMULA_2153">#N/A</definedName>
    <definedName name="SHARED_FORMULA_2154">#N/A</definedName>
    <definedName name="SHARED_FORMULA_2155">#N/A</definedName>
    <definedName name="SHARED_FORMULA_2156">#N/A</definedName>
    <definedName name="SHARED_FORMULA_2157">#N/A</definedName>
    <definedName name="SHARED_FORMULA_2158">#N/A</definedName>
    <definedName name="SHARED_FORMULA_2159">#N/A</definedName>
    <definedName name="SHARED_FORMULA_216">#N/A</definedName>
    <definedName name="SHARED_FORMULA_2160">#N/A</definedName>
    <definedName name="SHARED_FORMULA_2161">#N/A</definedName>
    <definedName name="SHARED_FORMULA_2162">#N/A</definedName>
    <definedName name="SHARED_FORMULA_2163">#N/A</definedName>
    <definedName name="SHARED_FORMULA_2164">#N/A</definedName>
    <definedName name="SHARED_FORMULA_2165">#N/A</definedName>
    <definedName name="SHARED_FORMULA_2166">#N/A</definedName>
    <definedName name="SHARED_FORMULA_2167">#N/A</definedName>
    <definedName name="SHARED_FORMULA_2168">#N/A</definedName>
    <definedName name="SHARED_FORMULA_2169">#N/A</definedName>
    <definedName name="SHARED_FORMULA_217">#N/A</definedName>
    <definedName name="SHARED_FORMULA_2170">#N/A</definedName>
    <definedName name="SHARED_FORMULA_2171">#N/A</definedName>
    <definedName name="SHARED_FORMULA_2172">#N/A</definedName>
    <definedName name="SHARED_FORMULA_2173">#N/A</definedName>
    <definedName name="SHARED_FORMULA_2174">#N/A</definedName>
    <definedName name="SHARED_FORMULA_2175">#N/A</definedName>
    <definedName name="SHARED_FORMULA_2176">#N/A</definedName>
    <definedName name="SHARED_FORMULA_2177">#N/A</definedName>
    <definedName name="SHARED_FORMULA_2178">#N/A</definedName>
    <definedName name="SHARED_FORMULA_2179">#N/A</definedName>
    <definedName name="SHARED_FORMULA_218">#N/A</definedName>
    <definedName name="SHARED_FORMULA_2180">#N/A</definedName>
    <definedName name="SHARED_FORMULA_2181">#N/A</definedName>
    <definedName name="SHARED_FORMULA_2182">#N/A</definedName>
    <definedName name="SHARED_FORMULA_2183">#N/A</definedName>
    <definedName name="SHARED_FORMULA_2184">#N/A</definedName>
    <definedName name="SHARED_FORMULA_2185">#N/A</definedName>
    <definedName name="SHARED_FORMULA_2186">#N/A</definedName>
    <definedName name="SHARED_FORMULA_2187">#N/A</definedName>
    <definedName name="SHARED_FORMULA_2188">#N/A</definedName>
    <definedName name="SHARED_FORMULA_2189">#N/A</definedName>
    <definedName name="SHARED_FORMULA_219">#N/A</definedName>
    <definedName name="SHARED_FORMULA_2190">#N/A</definedName>
    <definedName name="SHARED_FORMULA_2191">#N/A</definedName>
    <definedName name="SHARED_FORMULA_2192">#N/A</definedName>
    <definedName name="SHARED_FORMULA_2193">#N/A</definedName>
    <definedName name="SHARED_FORMULA_2194">#N/A</definedName>
    <definedName name="SHARED_FORMULA_2195">#N/A</definedName>
    <definedName name="SHARED_FORMULA_2196">#N/A</definedName>
    <definedName name="SHARED_FORMULA_2197">#N/A</definedName>
    <definedName name="SHARED_FORMULA_2198">#N/A</definedName>
    <definedName name="SHARED_FORMULA_2199">#N/A</definedName>
    <definedName name="SHARED_FORMULA_22">#N/A</definedName>
    <definedName name="SHARED_FORMULA_220">#N/A</definedName>
    <definedName name="SHARED_FORMULA_2200">#N/A</definedName>
    <definedName name="SHARED_FORMULA_2201">#N/A</definedName>
    <definedName name="SHARED_FORMULA_2202">#N/A</definedName>
    <definedName name="SHARED_FORMULA_2203">#N/A</definedName>
    <definedName name="SHARED_FORMULA_2204">#N/A</definedName>
    <definedName name="SHARED_FORMULA_2205">#N/A</definedName>
    <definedName name="SHARED_FORMULA_2206">#N/A</definedName>
    <definedName name="SHARED_FORMULA_2207">#N/A</definedName>
    <definedName name="SHARED_FORMULA_2208">#N/A</definedName>
    <definedName name="SHARED_FORMULA_2209">#N/A</definedName>
    <definedName name="SHARED_FORMULA_221">#N/A</definedName>
    <definedName name="SHARED_FORMULA_2210">#N/A</definedName>
    <definedName name="SHARED_FORMULA_2211">#N/A</definedName>
    <definedName name="SHARED_FORMULA_2212">#N/A</definedName>
    <definedName name="SHARED_FORMULA_2213">#N/A</definedName>
    <definedName name="SHARED_FORMULA_2214">#N/A</definedName>
    <definedName name="SHARED_FORMULA_2215">#N/A</definedName>
    <definedName name="SHARED_FORMULA_2216">#N/A</definedName>
    <definedName name="SHARED_FORMULA_2217">#N/A</definedName>
    <definedName name="SHARED_FORMULA_2218">#N/A</definedName>
    <definedName name="SHARED_FORMULA_2219">#N/A</definedName>
    <definedName name="SHARED_FORMULA_222">#N/A</definedName>
    <definedName name="SHARED_FORMULA_2220">#N/A</definedName>
    <definedName name="SHARED_FORMULA_2221">#N/A</definedName>
    <definedName name="SHARED_FORMULA_2222">#N/A</definedName>
    <definedName name="SHARED_FORMULA_2223">#N/A</definedName>
    <definedName name="SHARED_FORMULA_2224">#N/A</definedName>
    <definedName name="SHARED_FORMULA_2225">#N/A</definedName>
    <definedName name="SHARED_FORMULA_2226">#N/A</definedName>
    <definedName name="SHARED_FORMULA_2227">#N/A</definedName>
    <definedName name="SHARED_FORMULA_2228">#N/A</definedName>
    <definedName name="SHARED_FORMULA_2229">#N/A</definedName>
    <definedName name="SHARED_FORMULA_223">#N/A</definedName>
    <definedName name="SHARED_FORMULA_2230">#N/A</definedName>
    <definedName name="SHARED_FORMULA_2231">#N/A</definedName>
    <definedName name="SHARED_FORMULA_2232">#N/A</definedName>
    <definedName name="SHARED_FORMULA_2233">#N/A</definedName>
    <definedName name="SHARED_FORMULA_2234">#N/A</definedName>
    <definedName name="SHARED_FORMULA_2235">#N/A</definedName>
    <definedName name="SHARED_FORMULA_2236">#N/A</definedName>
    <definedName name="SHARED_FORMULA_2237">#N/A</definedName>
    <definedName name="SHARED_FORMULA_2238">#N/A</definedName>
    <definedName name="SHARED_FORMULA_2239">#N/A</definedName>
    <definedName name="SHARED_FORMULA_224">#N/A</definedName>
    <definedName name="SHARED_FORMULA_2240">#N/A</definedName>
    <definedName name="SHARED_FORMULA_2241">#N/A</definedName>
    <definedName name="SHARED_FORMULA_2242">#N/A</definedName>
    <definedName name="SHARED_FORMULA_2243">#N/A</definedName>
    <definedName name="SHARED_FORMULA_2244">#N/A</definedName>
    <definedName name="SHARED_FORMULA_2245">#N/A</definedName>
    <definedName name="SHARED_FORMULA_2246">#N/A</definedName>
    <definedName name="SHARED_FORMULA_2247">#N/A</definedName>
    <definedName name="SHARED_FORMULA_2248">#N/A</definedName>
    <definedName name="SHARED_FORMULA_2249">#N/A</definedName>
    <definedName name="SHARED_FORMULA_225">#N/A</definedName>
    <definedName name="SHARED_FORMULA_2250">#N/A</definedName>
    <definedName name="SHARED_FORMULA_2251">#N/A</definedName>
    <definedName name="SHARED_FORMULA_2252">#N/A</definedName>
    <definedName name="SHARED_FORMULA_2253">#N/A</definedName>
    <definedName name="SHARED_FORMULA_2254">#N/A</definedName>
    <definedName name="SHARED_FORMULA_2255">#N/A</definedName>
    <definedName name="SHARED_FORMULA_2256">#N/A</definedName>
    <definedName name="SHARED_FORMULA_2257">#N/A</definedName>
    <definedName name="SHARED_FORMULA_2258">#N/A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1+(0.15+0.16*0.05)</definedName>
    <definedName name="SHARED_FORMULA_929">#N/A</definedName>
    <definedName name="SHARED_FORMULA_93">#N/A</definedName>
    <definedName name="SHARED_FORMULA_930">1+(0+0.16*0.03)</definedName>
    <definedName name="SHARED_FORMULA_931">#N/A</definedName>
    <definedName name="SHARED_FORMULA_932">1+(0.18+0.16*0.05)</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1+(0.15+0.16*0.05)</definedName>
    <definedName name="SHARED_FORMULA_959">#N/A</definedName>
    <definedName name="SHARED_FORMULA_96">#N/A</definedName>
    <definedName name="SHARED_FORMULA_960">1+(0+0.16*0.03)</definedName>
    <definedName name="SHARED_FORMULA_961">#N/A</definedName>
    <definedName name="SHARED_FORMULA_962">#N/A</definedName>
    <definedName name="SHARED_FORMULA_963">1+(0.18+0.16*0.05)</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1+(0.15+0.16*0.05)</definedName>
    <definedName name="SHARED_FORMULA_981">#N/A</definedName>
    <definedName name="SHARED_FORMULA_982">1+(0+0.16*0.03)</definedName>
    <definedName name="SHARED_FORMULA_983">#N/A</definedName>
    <definedName name="SHARED_FORMULA_984">1+(0.18+0.16*0.05)</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I" localSheetId="5">#REF!</definedName>
    <definedName name="SI" localSheetId="15">#REF!</definedName>
    <definedName name="SI" localSheetId="16">#REF!</definedName>
    <definedName name="SI" localSheetId="18">#REF!</definedName>
    <definedName name="SI" localSheetId="6">#REF!</definedName>
    <definedName name="SI" localSheetId="7">#REF!</definedName>
    <definedName name="SI" localSheetId="10">#REF!</definedName>
    <definedName name="SI" localSheetId="11">#REF!</definedName>
    <definedName name="SI" localSheetId="22">#REF!</definedName>
    <definedName name="SI">#REF!</definedName>
    <definedName name="sin">#REF!</definedName>
    <definedName name="sin_nombre_2">#REF!</definedName>
    <definedName name="SISISIS" localSheetId="5">#REF!</definedName>
    <definedName name="SISISIS" localSheetId="15">#REF!</definedName>
    <definedName name="SISISIS" localSheetId="16">#REF!</definedName>
    <definedName name="SISISIS" localSheetId="18">#REF!</definedName>
    <definedName name="SISISIS" localSheetId="6">#REF!</definedName>
    <definedName name="SISISIS" localSheetId="7">#REF!</definedName>
    <definedName name="SISISIS" localSheetId="10">#REF!</definedName>
    <definedName name="SISISIS" localSheetId="11">#REF!</definedName>
    <definedName name="SISISIS" localSheetId="22">#REF!</definedName>
    <definedName name="SISISIS">#REF!</definedName>
    <definedName name="SISTEMA_DE_ILUMINACIÓN" localSheetId="17">#REF!</definedName>
    <definedName name="SISTEMA_DE_ILUMINACIÓN" localSheetId="18">#REF!</definedName>
    <definedName name="SISTEMA_DE_ILUMINACIÓN" localSheetId="2">#REF!</definedName>
    <definedName name="SISTEMA_DE_ILUMINACIÓN">#REF!</definedName>
    <definedName name="SLPVC" localSheetId="0">#REF!</definedName>
    <definedName name="sm">#REF!</definedName>
    <definedName name="SMMLV" localSheetId="0">#REF!</definedName>
    <definedName name="SMMLV">#REF!</definedName>
    <definedName name="SOFT">#REF!</definedName>
    <definedName name="SOLD14">#REF!</definedName>
    <definedName name="SOLDA" localSheetId="0">#REF!</definedName>
    <definedName name="SOLPVC" localSheetId="0">#REF!</definedName>
    <definedName name="SOLPVC">#REF!</definedName>
    <definedName name="srwrwr" hidden="1">{"TAB1",#N/A,TRUE,"GENERAL";"TAB2",#N/A,TRUE,"GENERAL";"TAB3",#N/A,TRUE,"GENERAL";"TAB4",#N/A,TRUE,"GENERAL";"TAB5",#N/A,TRUE,"GENERAL"}</definedName>
    <definedName name="SS" localSheetId="17">#REF!</definedName>
    <definedName name="SS" localSheetId="18">#REF!</definedName>
    <definedName name="ss" localSheetId="0">#REF!</definedName>
    <definedName name="SS" localSheetId="2">#REF!</definedName>
    <definedName name="SS">#REF!</definedName>
    <definedName name="SSS" localSheetId="17">#REF!</definedName>
    <definedName name="SSS" localSheetId="18">#REF!</definedName>
    <definedName name="SSS" localSheetId="0">#REF!</definedName>
    <definedName name="SSS" localSheetId="2">#REF!</definedName>
    <definedName name="SSS">#REF!</definedName>
    <definedName name="SSSS" localSheetId="17">#REF!</definedName>
    <definedName name="SSSS" localSheetId="18">#REF!</definedName>
    <definedName name="SSSS" localSheetId="2">#REF!</definedName>
    <definedName name="SSSS">#REF!</definedName>
    <definedName name="SSSSS" localSheetId="17">#REF!</definedName>
    <definedName name="SSSSS" localSheetId="18">#REF!</definedName>
    <definedName name="SSSSS" localSheetId="2">#REF!</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SSS" localSheetId="17">#REF!</definedName>
    <definedName name="SSSSSSSS" localSheetId="18">#REF!</definedName>
    <definedName name="SSSSSSSS" localSheetId="2">#REF!</definedName>
    <definedName name="SSSSSSSS">#REF!</definedName>
    <definedName name="SSSSSSSSSSSSS" localSheetId="17">#REF!</definedName>
    <definedName name="SSSSSSSSSSSSS" localSheetId="18">#REF!</definedName>
    <definedName name="SSSSSSSSSSSSS" localSheetId="2">#REF!</definedName>
    <definedName name="SSSSSSSSSSSSS">#REF!</definedName>
    <definedName name="SSSSSSSSSSSSSS" localSheetId="17">#REF!</definedName>
    <definedName name="SSSSSSSSSSSSSS" localSheetId="18">#REF!</definedName>
    <definedName name="SSSSSSSSSSSSSS" localSheetId="2">#REF!</definedName>
    <definedName name="SSSSSSSSSSSSSS">#REF!</definedName>
    <definedName name="SSSSSSSSSSSSSSS" localSheetId="17">#REF!</definedName>
    <definedName name="SSSSSSSSSSSSSSS" localSheetId="18">#REF!</definedName>
    <definedName name="SSSSSSSSSSSSSSS" localSheetId="2">#REF!</definedName>
    <definedName name="SSSSSSSSSSSSSSS">#REF!</definedName>
    <definedName name="SSSSSSSSSSSSSSSSSS" localSheetId="17">#REF!</definedName>
    <definedName name="SSSSSSSSSSSSSSSSSS" localSheetId="18">#REF!</definedName>
    <definedName name="SSSSSSSSSSSSSSSSSS" localSheetId="2">#REF!</definedName>
    <definedName name="SSSSSSSSSSSSSSSSSS">#REF!</definedName>
    <definedName name="SSSSSSSSSSSSSSSSSSSSSSS" localSheetId="17">#REF!</definedName>
    <definedName name="SSSSSSSSSSSSSSSSSSSSSSS" localSheetId="18">#REF!</definedName>
    <definedName name="SSSSSSSSSSSSSSSSSSSSSSS" localSheetId="2">#REF!</definedName>
    <definedName name="SSSSSSSSSSSSSSSSSSSSSSS">#REF!</definedName>
    <definedName name="SSSSSSSSSSSSSSSSSSSSSSSS" localSheetId="17">#REF!</definedName>
    <definedName name="SSSSSSSSSSSSSSSSSSSSSSSS" localSheetId="18">#REF!</definedName>
    <definedName name="SSSSSSSSSSSSSSSSSSSSSSSS" localSheetId="2">#REF!</definedName>
    <definedName name="SSSSSSSSSSSSSSSSSSSSSSSS">#REF!</definedName>
    <definedName name="SSSSSSSSSSSSSSSSSSSSSSSSS" localSheetId="17">#REF!</definedName>
    <definedName name="SSSSSSSSSSSSSSSSSSSSSSSSS" localSheetId="18">#REF!</definedName>
    <definedName name="SSSSSSSSSSSSSSSSSSSSSSSSS" localSheetId="2">#REF!</definedName>
    <definedName name="SSSSSSSSSSSSSSSSSSSSSSSSS">#REF!</definedName>
    <definedName name="SSSSSSSSSSSSSSSSSSSSSSSSSS" localSheetId="17">#REF!</definedName>
    <definedName name="SSSSSSSSSSSSSSSSSSSSSSSSSS" localSheetId="18">#REF!</definedName>
    <definedName name="SSSSSSSSSSSSSSSSSSSSSSSSSS" localSheetId="2">#REF!</definedName>
    <definedName name="SSSSSSSSSSSSSSSSSSSSSSSSSS">#REF!</definedName>
    <definedName name="SSSSSSSSSSSSSSSSSSSSSSSSSSS" localSheetId="17">#REF!</definedName>
    <definedName name="SSSSSSSSSSSSSSSSSSSSSSSSSSS" localSheetId="18">#REF!</definedName>
    <definedName name="SSSSSSSSSSSSSSSSSSSSSSSSSSS" localSheetId="2">#REF!</definedName>
    <definedName name="SSSSSSSSSSSSSSSSSSSSSSSSSSS">#REF!</definedName>
    <definedName name="SSSSSSSSSSSSSSSSSSSSSSSSSSSSSS" localSheetId="17">#REF!</definedName>
    <definedName name="SSSSSSSSSSSSSSSSSSSSSSSSSSSSSS" localSheetId="18">#REF!</definedName>
    <definedName name="SSSSSSSSSSSSSSSSSSSSSSSSSSSSSS" localSheetId="2">#REF!</definedName>
    <definedName name="SSSSSSSSSSSSSSSSSSSSSSSSSSSSSS">#REF!</definedName>
    <definedName name="sssssy" hidden="1">{"via1",#N/A,TRUE,"general";"via2",#N/A,TRUE,"general";"via3",#N/A,TRUE,"general"}</definedName>
    <definedName name="st">#REF!</definedName>
    <definedName name="stt" hidden="1">{"via1",#N/A,TRUE,"general";"via2",#N/A,TRUE,"general";"via3",#N/A,TRUE,"general"}</definedName>
    <definedName name="SUBA" localSheetId="0">#REF!</definedName>
    <definedName name="SUBA">#REF!</definedName>
    <definedName name="SUELDOS">#REF!</definedName>
    <definedName name="SUELLEN" localSheetId="17">#REF!</definedName>
    <definedName name="SUELLEN" localSheetId="18">#REF!</definedName>
    <definedName name="SUELLEN" localSheetId="0">#REF!</definedName>
    <definedName name="SUELLEN">#REF!</definedName>
    <definedName name="suma" localSheetId="0">#REF!</definedName>
    <definedName name="suma">#REF!</definedName>
    <definedName name="SUMIN" localSheetId="0">#REF!</definedName>
    <definedName name="SUMIN">#REF!</definedName>
    <definedName name="SUMINISTROS">#REF!</definedName>
    <definedName name="sw" localSheetId="5">#REF!</definedName>
    <definedName name="sw" localSheetId="15">#REF!</definedName>
    <definedName name="sw" localSheetId="16">#REF!</definedName>
    <definedName name="sw" localSheetId="18">#REF!</definedName>
    <definedName name="sw" localSheetId="6">#REF!</definedName>
    <definedName name="sw" localSheetId="7">#REF!</definedName>
    <definedName name="sw" localSheetId="10">#REF!</definedName>
    <definedName name="sw" localSheetId="11">#REF!</definedName>
    <definedName name="sw" localSheetId="22">#REF!</definedName>
    <definedName name="sw">#REF!</definedName>
    <definedName name="swsw" hidden="1">{"via1",#N/A,TRUE,"general";"via2",#N/A,TRUE,"general";"via3",#N/A,TRUE,"general"}</definedName>
    <definedName name="swsw3" hidden="1">{"TAB1",#N/A,TRUE,"GENERAL";"TAB2",#N/A,TRUE,"GENERAL";"TAB3",#N/A,TRUE,"GENERAL";"TAB4",#N/A,TRUE,"GENERAL";"TAB5",#N/A,TRUE,"GENERAL"}</definedName>
    <definedName name="Swvu.TAB1." localSheetId="14" hidden="1">#REF!</definedName>
    <definedName name="Swvu.TAB1." localSheetId="17" hidden="1">#REF!</definedName>
    <definedName name="Swvu.TAB1." localSheetId="18" hidden="1">#REF!</definedName>
    <definedName name="Swvu.TAB1." localSheetId="9" hidden="1">#REF!</definedName>
    <definedName name="Swvu.TAB1." localSheetId="11" hidden="1">#REF!</definedName>
    <definedName name="Swvu.TAB1." localSheetId="13" hidden="1">#REF!</definedName>
    <definedName name="Swvu.TAB1." localSheetId="20" hidden="1">#REF!</definedName>
    <definedName name="Swvu.TAB1." localSheetId="22" hidden="1">#REF!</definedName>
    <definedName name="Swvu.TAB1." localSheetId="21" hidden="1">#REF!</definedName>
    <definedName name="Swvu.TAB1." hidden="1">#REF!</definedName>
    <definedName name="Swvu.TAB2." localSheetId="14" hidden="1">#REF!</definedName>
    <definedName name="Swvu.TAB2." localSheetId="17" hidden="1">#REF!</definedName>
    <definedName name="Swvu.TAB2." localSheetId="18" hidden="1">#REF!</definedName>
    <definedName name="Swvu.TAB2." localSheetId="9" hidden="1">#REF!</definedName>
    <definedName name="Swvu.TAB2." localSheetId="11" hidden="1">#REF!</definedName>
    <definedName name="Swvu.TAB2." localSheetId="13" hidden="1">#REF!</definedName>
    <definedName name="Swvu.TAB2." localSheetId="20" hidden="1">#REF!</definedName>
    <definedName name="Swvu.TAB2." localSheetId="22" hidden="1">#REF!</definedName>
    <definedName name="Swvu.TAB2." localSheetId="21" hidden="1">#REF!</definedName>
    <definedName name="Swvu.TAB2." hidden="1">#REF!</definedName>
    <definedName name="Swvu.TAB3." localSheetId="14" hidden="1">#REF!</definedName>
    <definedName name="Swvu.TAB3." localSheetId="17" hidden="1">#REF!</definedName>
    <definedName name="Swvu.TAB3." localSheetId="18" hidden="1">#REF!</definedName>
    <definedName name="Swvu.TAB3." localSheetId="9" hidden="1">#REF!</definedName>
    <definedName name="Swvu.TAB3." localSheetId="11" hidden="1">#REF!</definedName>
    <definedName name="Swvu.TAB3." localSheetId="13" hidden="1">#REF!</definedName>
    <definedName name="Swvu.TAB3." localSheetId="20" hidden="1">#REF!</definedName>
    <definedName name="Swvu.TAB3." localSheetId="22" hidden="1">#REF!</definedName>
    <definedName name="Swvu.TAB3." localSheetId="21" hidden="1">#REF!</definedName>
    <definedName name="Swvu.TAB3." hidden="1">#REF!</definedName>
    <definedName name="Swvu.TAB4." localSheetId="14" hidden="1">#REF!</definedName>
    <definedName name="Swvu.TAB4." localSheetId="17" hidden="1">#REF!</definedName>
    <definedName name="Swvu.TAB4." localSheetId="18" hidden="1">#REF!</definedName>
    <definedName name="Swvu.TAB4." localSheetId="9" hidden="1">#REF!</definedName>
    <definedName name="Swvu.TAB4." localSheetId="11" hidden="1">#REF!</definedName>
    <definedName name="Swvu.TAB4." localSheetId="13" hidden="1">#REF!</definedName>
    <definedName name="Swvu.TAB4." localSheetId="20" hidden="1">#REF!</definedName>
    <definedName name="Swvu.TAB4." localSheetId="22" hidden="1">#REF!</definedName>
    <definedName name="Swvu.TAB4." localSheetId="21" hidden="1">#REF!</definedName>
    <definedName name="Swvu.TAB4." hidden="1">#REF!</definedName>
    <definedName name="Swvu.TAB5." localSheetId="14" hidden="1">#REF!</definedName>
    <definedName name="Swvu.TAB5." localSheetId="17" hidden="1">#REF!</definedName>
    <definedName name="Swvu.TAB5." localSheetId="18" hidden="1">#REF!</definedName>
    <definedName name="Swvu.TAB5." localSheetId="9" hidden="1">#REF!</definedName>
    <definedName name="Swvu.TAB5." localSheetId="11" hidden="1">#REF!</definedName>
    <definedName name="Swvu.TAB5." localSheetId="13" hidden="1">#REF!</definedName>
    <definedName name="Swvu.TAB5." localSheetId="20" hidden="1">#REF!</definedName>
    <definedName name="Swvu.TAB5." localSheetId="22" hidden="1">#REF!</definedName>
    <definedName name="Swvu.TAB5." localSheetId="21" hidden="1">#REF!</definedName>
    <definedName name="Swvu.TAB5." hidden="1">#REF!</definedName>
    <definedName name="SZ">#REF!</definedName>
    <definedName name="T" localSheetId="17">#REF!</definedName>
    <definedName name="T" localSheetId="18">#REF!</definedName>
    <definedName name="t" localSheetId="0">#REF!</definedName>
    <definedName name="T" localSheetId="2">#REF!</definedName>
    <definedName name="T">#REF!</definedName>
    <definedName name="T.1_POZ">#REF!</definedName>
    <definedName name="T.3">#REF!</definedName>
    <definedName name="T.ALTURAS">'15. ANEXO SST-PMT-PMA'!$D$18</definedName>
    <definedName name="T.TRABAJ.">'15. ANEXO SST-PMT-PMA'!$D$17</definedName>
    <definedName name="T.VIA">#REF!</definedName>
    <definedName name="T___2_.3_FC_2.2">#REF!</definedName>
    <definedName name="T_RMG">#REF!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HDJH">#REF!</definedName>
    <definedName name="T2RF15">#REF!</definedName>
    <definedName name="T2RF19">#REF!</definedName>
    <definedName name="T43JH">#REF!</definedName>
    <definedName name="T44JH">#REF!</definedName>
    <definedName name="t5t5" hidden="1">{"TAB1",#N/A,TRUE,"GENERAL";"TAB2",#N/A,TRUE,"GENERAL";"TAB3",#N/A,TRUE,"GENERAL";"TAB4",#N/A,TRUE,"GENERAL";"TAB5",#N/A,TRUE,"GENERAL"}</definedName>
    <definedName name="T66JH" localSheetId="0">#REF!</definedName>
    <definedName name="T66JH">#REF!</definedName>
    <definedName name="TabBL">#REF!</definedName>
    <definedName name="TabCIM">#REF!</definedName>
    <definedName name="TABLA" localSheetId="0">#REF!</definedName>
    <definedName name="TABLA">#REF!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BLILLA" localSheetId="0">#REF!</definedName>
    <definedName name="TABLILLA">#REF!</definedName>
    <definedName name="TabPE">#REF!</definedName>
    <definedName name="TabPVC">#REF!</definedName>
    <definedName name="tacha">#REF!</definedName>
    <definedName name="TACOM" localSheetId="0">#REF!</definedName>
    <definedName name="TACOM">#REF!</definedName>
    <definedName name="TACOM1">#REF!</definedName>
    <definedName name="TACOR" localSheetId="0">#REF!</definedName>
    <definedName name="TACOR">#REF!</definedName>
    <definedName name="TACOR_">#REF!</definedName>
    <definedName name="TALA">#REF!</definedName>
    <definedName name="TAPAMH">#REF!</definedName>
    <definedName name="TARIFAS">#REF!</definedName>
    <definedName name="TARIFAS1">#REF!</definedName>
    <definedName name="tarifas2">#REF!</definedName>
    <definedName name="tarifas3">#REF!</definedName>
    <definedName name="tarifas4">#REF!</definedName>
    <definedName name="TASA">#REF!</definedName>
    <definedName name="TASH2_">#REF!</definedName>
    <definedName name="TASH4_">#REF!</definedName>
    <definedName name="tdy" hidden="1">{"TAB1",#N/A,TRUE,"GENERAL";"TAB2",#N/A,TRUE,"GENERAL";"TAB3",#N/A,TRUE,"GENERAL";"TAB4",#N/A,TRUE,"GENERAL";"TAB5",#N/A,TRUE,"GENERAL"}</definedName>
    <definedName name="TE22JH">#REF!</definedName>
    <definedName name="TECHINT_INTERNATIONAL_CONSTRUCTION">"CP03"</definedName>
    <definedName name="techos" localSheetId="17">#REF!</definedName>
    <definedName name="techos" localSheetId="18">#REF!</definedName>
    <definedName name="techos" localSheetId="2">#REF!</definedName>
    <definedName name="techos">#REF!</definedName>
    <definedName name="TEE62JH">#REF!</definedName>
    <definedName name="TEJAB" localSheetId="0">#REF!</definedName>
    <definedName name="TEJAB">#REF!</definedName>
    <definedName name="TEJAJ" localSheetId="0">#REF!</definedName>
    <definedName name="TEJAJ">#REF!</definedName>
    <definedName name="TELAFIB">#REF!</definedName>
    <definedName name="TELEP" localSheetId="0">#REF!</definedName>
    <definedName name="TELEP">#REF!</definedName>
    <definedName name="TEMPLL">#REF!</definedName>
    <definedName name="TEMPS">#REF!</definedName>
    <definedName name="term">#REF!</definedName>
    <definedName name="terminadora">#REF!</definedName>
    <definedName name="territoriales">#REF!</definedName>
    <definedName name="tewst" hidden="1">{"TAB1",#N/A,TRUE,"GENERAL";"TAB2",#N/A,TRUE,"GENERAL";"TAB3",#N/A,TRUE,"GENERAL";"TAB4",#N/A,TRUE,"GENERAL";"TAB5",#N/A,TRUE,"GENERAL"}</definedName>
    <definedName name="teytrh" hidden="1">{"via1",#N/A,TRUE,"general";"via2",#N/A,TRUE,"general";"via3",#N/A,TRUE,"general"}</definedName>
    <definedName name="TGALV" localSheetId="0">#REF!</definedName>
    <definedName name="TGALV">#REF!</definedName>
    <definedName name="TGRASA" localSheetId="0">#REF!</definedName>
    <definedName name="TGRASA">#REF!</definedName>
    <definedName name="thdh" hidden="1">{"TAB1",#N/A,TRUE,"GENERAL";"TAB2",#N/A,TRUE,"GENERAL";"TAB3",#N/A,TRUE,"GENERAL";"TAB4",#N/A,TRUE,"GENERAL";"TAB5",#N/A,TRUE,"GENERAL"}</definedName>
    <definedName name="thtj" hidden="1">{"via1",#N/A,TRUE,"general";"via2",#N/A,TRUE,"general";"via3",#N/A,TRUE,"general"}</definedName>
    <definedName name="TIEMPO">#REF!</definedName>
    <definedName name="TIPO">#REF!</definedName>
    <definedName name="tipoint">#REF!</definedName>
    <definedName name="tipov" localSheetId="17">#REF!</definedName>
    <definedName name="tipov" localSheetId="18">#REF!</definedName>
    <definedName name="tipov" localSheetId="2">#REF!</definedName>
    <definedName name="tipov">#REF!</definedName>
    <definedName name="TITULO">#REF!</definedName>
    <definedName name="titulos_a_imprimir">#REF!</definedName>
    <definedName name="_xlnm.Print_Titles">#N/A</definedName>
    <definedName name="Títulos_a_imprimir_IM" localSheetId="17">#REF!</definedName>
    <definedName name="Títulos_a_imprimir_IM" localSheetId="18">#REF!</definedName>
    <definedName name="Títulos_a_imprimir_IM" localSheetId="0">#REF!</definedName>
    <definedName name="Títulos_a_imprimir_IM">#REF!</definedName>
    <definedName name="TMMSEG">#REF!</definedName>
    <definedName name="TNOV10" localSheetId="0">#REF!</definedName>
    <definedName name="TNOV10">#REF!</definedName>
    <definedName name="TNOV12" localSheetId="0">#REF!</definedName>
    <definedName name="TNOV12">#REF!</definedName>
    <definedName name="TNOV14">#REF!</definedName>
    <definedName name="TNOV16" localSheetId="0">#REF!</definedName>
    <definedName name="TNOV16">#REF!</definedName>
    <definedName name="TNOV18" localSheetId="0">#REF!</definedName>
    <definedName name="TNOV18">#REF!</definedName>
    <definedName name="TNOV20" localSheetId="0">#REF!</definedName>
    <definedName name="TNOV20">#REF!</definedName>
    <definedName name="TNOV24">#REF!</definedName>
    <definedName name="TNOV6" localSheetId="0">#REF!</definedName>
    <definedName name="TNOV6">#REF!</definedName>
    <definedName name="TNOV8" localSheetId="0">#REF!</definedName>
    <definedName name="TNOV8">#REF!</definedName>
    <definedName name="TODAHOJA" localSheetId="17">#REF!</definedName>
    <definedName name="TODAHOJA" localSheetId="18">#REF!</definedName>
    <definedName name="TODAHOJA" localSheetId="2">#REF!</definedName>
    <definedName name="TODAHOJA">#REF!</definedName>
    <definedName name="todo">#REF!</definedName>
    <definedName name="TOMAD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17">#REF!</definedName>
    <definedName name="TOTAL" localSheetId="18">#REF!</definedName>
    <definedName name="TOTAL" localSheetId="0">#REF!</definedName>
    <definedName name="TOTAL" localSheetId="2">#REF!</definedName>
    <definedName name="TOTAL">#REF!</definedName>
    <definedName name="Total_Interest">#REF!</definedName>
    <definedName name="Total_Pay">#REF!</definedName>
    <definedName name="Total_Payment" localSheetId="5">Scheduled_Payment+Extra_Payment</definedName>
    <definedName name="Total_Payment" localSheetId="15">Scheduled_Payment+Extra_Payment</definedName>
    <definedName name="Total_Payment" localSheetId="16">Scheduled_Payment+Extra_Payment</definedName>
    <definedName name="Total_Payment" localSheetId="18">Scheduled_Payment+Extra_Payment</definedName>
    <definedName name="Total_Payment" localSheetId="6">Scheduled_Payment+Extra_Payment</definedName>
    <definedName name="Total_Payment" localSheetId="7">Scheduled_Payment+Extra_Payment</definedName>
    <definedName name="Total_Payment" localSheetId="10">Scheduled_Payment+Extra_Payment</definedName>
    <definedName name="Total_Payment" localSheetId="11">Scheduled_Payment+Extra_Payment</definedName>
    <definedName name="Total_Payment" localSheetId="22">Scheduled_Payment+Extra_Payment</definedName>
    <definedName name="Total_Payment">Scheduled_Payment+Extra_Payment</definedName>
    <definedName name="totales">#REF!</definedName>
    <definedName name="Totalgastosvarios">#REF!</definedName>
    <definedName name="TotalOpti">#REF!</definedName>
    <definedName name="TOTALOPTIM">#REF!</definedName>
    <definedName name="TOTALOPTIMIZACION">#REF!</definedName>
    <definedName name="TOTALREPOS">#REF!</definedName>
    <definedName name="TOTALREPOSICION">#REF!</definedName>
    <definedName name="TPVCME">#REF!</definedName>
    <definedName name="tr" localSheetId="0">#REF!</definedName>
    <definedName name="tr" hidden="1">{"TAB1",#N/A,TRUE,"GENERAL";"TAB2",#N/A,TRUE,"GENERAL";"TAB3",#N/A,TRUE,"GENERAL";"TAB4",#N/A,TRUE,"GENERAL";"TAB5",#N/A,TRUE,"GENERAL"}</definedName>
    <definedName name="TRABAJOS_ESPECÍFICOS" localSheetId="17">#REF!</definedName>
    <definedName name="TRABAJOS_ESPECÍFICOS" localSheetId="18">#REF!</definedName>
    <definedName name="TRABAJOS_ESPECÍFICOS" localSheetId="2">#REF!</definedName>
    <definedName name="TRABAJOS_ESPECÍFICOS">#REF!</definedName>
    <definedName name="tramites">#REF!</definedName>
    <definedName name="TRAMO">#REF!</definedName>
    <definedName name="tramos" localSheetId="0">#REF!</definedName>
    <definedName name="tramos">#REF!</definedName>
    <definedName name="TRANAG" localSheetId="0">#REF!</definedName>
    <definedName name="TRANAG">#REF!</definedName>
    <definedName name="TRANAR" localSheetId="0">#REF!</definedName>
    <definedName name="TRANAR">#REF!</definedName>
    <definedName name="TRANS" localSheetId="0">#REF!</definedName>
    <definedName name="TRANS">#REF!</definedName>
    <definedName name="TRANSEQ">#REF!</definedName>
    <definedName name="TRANSEX">#REF!</definedName>
    <definedName name="TRANSPORTE">#REF!</definedName>
    <definedName name="TRANSPORTE_">#REF!</definedName>
    <definedName name="TRAT">#REF!</definedName>
    <definedName name="tre">#REF!</definedName>
    <definedName name="tres" localSheetId="17">#REF!</definedName>
    <definedName name="tres" localSheetId="18">#REF!</definedName>
    <definedName name="tres" localSheetId="0">#REF!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t">#REF!</definedName>
    <definedName name="TRITM">#REF!</definedName>
    <definedName name="TRITU" localSheetId="0">#REF!</definedName>
    <definedName name="TRITU">#REF!</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AC14">#REF!</definedName>
    <definedName name="TUAC4">#REF!</definedName>
    <definedName name="TUAC6">#REF!</definedName>
    <definedName name="TUBS3" localSheetId="0">#REF!</definedName>
    <definedName name="TUBS3">#REF!</definedName>
    <definedName name="TUBS4">#REF!</definedName>
    <definedName name="TUBS6">#REF!</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s">#REF!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LU" localSheetId="0">#REF!</definedName>
    <definedName name="UALU">#REF!</definedName>
    <definedName name="uat">#REF!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p" localSheetId="17">#REF!</definedName>
    <definedName name="uiop" localSheetId="18">#REF!</definedName>
    <definedName name="uiop" localSheetId="2">#REF!</definedName>
    <definedName name="uiop">#REF!</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 localSheetId="17">#REF!</definedName>
    <definedName name="uiui" localSheetId="18">#REF!</definedName>
    <definedName name="uiui">#REF!</definedName>
    <definedName name="UIUYI" hidden="1">{"TAB1",#N/A,TRUE,"GENERAL";"TAB2",#N/A,TRUE,"GENERAL";"TAB3",#N/A,TRUE,"GENERAL";"TAB4",#N/A,TRUE,"GENERAL";"TAB5",#N/A,TRUE,"GENERAL"}</definedName>
    <definedName name="ujhghjh">#REF!</definedName>
    <definedName name="UNIDAD_TRANSPORTE">#REF!</definedName>
    <definedName name="Unidades">#REF!</definedName>
    <definedName name="unidades_reales">#REF!</definedName>
    <definedName name="union">#REF!</definedName>
    <definedName name="UNOV30">#REF!</definedName>
    <definedName name="UNOV36">#REF!</definedName>
    <definedName name="UNPVP1">#REF!</definedName>
    <definedName name="UNPVP2" localSheetId="0">#REF!</definedName>
    <definedName name="UNPVP2">#REF!</definedName>
    <definedName name="UNPVP3">#REF!</definedName>
    <definedName name="UNREP6HD">#REF!</definedName>
    <definedName name="UO" localSheetId="5">#REF!</definedName>
    <definedName name="UO" localSheetId="15">#REF!</definedName>
    <definedName name="UO" localSheetId="16">#REF!</definedName>
    <definedName name="UO" localSheetId="18">#REF!</definedName>
    <definedName name="UO" localSheetId="6">#REF!</definedName>
    <definedName name="UO" localSheetId="7">#REF!</definedName>
    <definedName name="UO" localSheetId="10">#REF!</definedName>
    <definedName name="UO" localSheetId="11">#REF!</definedName>
    <definedName name="UO" localSheetId="22">#REF!</definedName>
    <definedName name="UO">#REF!</definedName>
    <definedName name="UOUIV" hidden="1">{"TAB1",#N/A,TRUE,"GENERAL";"TAB2",#N/A,TRUE,"GENERAL";"TAB3",#N/A,TRUE,"GENERAL";"TAB4",#N/A,TRUE,"GENERAL";"TAB5",#N/A,TRUE,"GENERAL"}</definedName>
    <definedName name="URBANISMO" localSheetId="17">#REF!</definedName>
    <definedName name="URBANISMO" localSheetId="18">#REF!</definedName>
    <definedName name="URBANISMO" localSheetId="2">#REF!</definedName>
    <definedName name="URBANISMO">#REF!</definedName>
    <definedName name="URBANISMO1" localSheetId="17">#REF!</definedName>
    <definedName name="URBANISMO1" localSheetId="18">#REF!</definedName>
    <definedName name="URBANISMO1" localSheetId="2">#REF!</definedName>
    <definedName name="URBANISMO1">#REF!</definedName>
    <definedName name="UREP2">#REF!</definedName>
    <definedName name="UREP3">#REF!</definedName>
    <definedName name="UREP4">#REF!</definedName>
    <definedName name="uryur" hidden="1">{"TAB1",#N/A,TRUE,"GENERAL";"TAB2",#N/A,TRUE,"GENERAL";"TAB3",#N/A,TRUE,"GENERAL";"TAB4",#N/A,TRUE,"GENERAL";"TAB5",#N/A,TRUE,"GENERAL"}</definedName>
    <definedName name="Usd" localSheetId="17">#REF!</definedName>
    <definedName name="Usd" localSheetId="18">#REF!</definedName>
    <definedName name="Usd">#REF!</definedName>
    <definedName name="UTIL" localSheetId="17">#REF!</definedName>
    <definedName name="UTIL" localSheetId="18">#REF!</definedName>
    <definedName name="util" localSheetId="0">#REF!</definedName>
    <definedName name="UTIL" localSheetId="2">#REF!</definedName>
    <definedName name="UTIL">#REF!</definedName>
    <definedName name="utilidad" localSheetId="17">#REF!</definedName>
    <definedName name="utilidad" localSheetId="18">#REF!</definedName>
    <definedName name="UTILIDAD" localSheetId="0">#REF!</definedName>
    <definedName name="utilidad" localSheetId="2">#REF!</definedName>
    <definedName name="utilidad">#REF!</definedName>
    <definedName name="UTILIDADES">#REF!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o" localSheetId="17">#REF!</definedName>
    <definedName name="uyo" localSheetId="18">#REF!</definedName>
    <definedName name="uyo">#REF!</definedName>
    <definedName name="uytu" hidden="1">{"TAB1",#N/A,TRUE,"GENERAL";"TAB2",#N/A,TRUE,"GENERAL";"TAB3",#N/A,TRUE,"GENERAL";"TAB4",#N/A,TRUE,"GENERAL";"TAB5",#N/A,TRUE,"GENERAL"}</definedName>
    <definedName name="uyur" hidden="1">{"via1",#N/A,TRUE,"general";"via2",#N/A,TRUE,"general";"via3",#N/A,TRUE,"general"}</definedName>
    <definedName name="v">#REF!</definedName>
    <definedName name="VACACIONES">#REF!</definedName>
    <definedName name="VALIDACION">#REF!</definedName>
    <definedName name="VALMA4" localSheetId="0">#REF!</definedName>
    <definedName name="VALMA4">#REF!</definedName>
    <definedName name="Valor" localSheetId="17">#REF!</definedName>
    <definedName name="Valor" localSheetId="18">#REF!</definedName>
    <definedName name="Valor" localSheetId="2">#REF!</definedName>
    <definedName name="Valor">#REF!</definedName>
    <definedName name="valor_total">#REF!</definedName>
    <definedName name="valor1">#REF!</definedName>
    <definedName name="valor2">#REF!</definedName>
    <definedName name="VALOR3">#REF!</definedName>
    <definedName name="Values_Entered">IF(Loan_Amount*Interest_Rate*Loan_Years*Loan_Start&gt;0,1,0)</definedName>
    <definedName name="VALVULA">#REF!</definedName>
    <definedName name="Var" localSheetId="0">#REF!</definedName>
    <definedName name="Var">#REF!</definedName>
    <definedName name="Var_Inflación">#REF!</definedName>
    <definedName name="VariosAnalisis">#REF!</definedName>
    <definedName name="vas" localSheetId="17">#REF!</definedName>
    <definedName name="vas" localSheetId="18">#REF!</definedName>
    <definedName name="vas" localSheetId="0">#REF!</definedName>
    <definedName name="vas">#REF!</definedName>
    <definedName name="VBOL2">#REF!</definedName>
    <definedName name="VBOL4">#REF!</definedName>
    <definedName name="vbvbvbvb" hidden="1">{"TAB1",#N/A,TRUE,"GENERAL";"TAB2",#N/A,TRUE,"GENERAL";"TAB3",#N/A,TRUE,"GENERAL";"TAB4",#N/A,TRUE,"GENERAL";"TAB5",#N/A,TRUE,"GENERAL"}</definedName>
    <definedName name="VCELAVNA6JH">#REF!</definedName>
    <definedName name="VCEVNAEL3" localSheetId="0">#REF!</definedName>
    <definedName name="VCEVNAEL3">#REF!</definedName>
    <definedName name="VCSBVNAEL2" localSheetId="0">#REF!</definedName>
    <definedName name="VCSBVNAEL2">#REF!</definedName>
    <definedName name="VCSBVNAEL3" localSheetId="0">#REF!</definedName>
    <definedName name="VCSBVNAEL3">#REF!</definedName>
    <definedName name="vdfvuio" hidden="1">{"via1",#N/A,TRUE,"general";"via2",#N/A,TRUE,"general";"via3",#N/A,TRUE,"general"}</definedName>
    <definedName name="vdsvnj" hidden="1">{"via1",#N/A,TRUE,"general";"via2",#N/A,TRUE,"general";"via3",#N/A,TRUE,"general"}</definedName>
    <definedName name="Venta1">#REF!</definedName>
    <definedName name="VentaAiu">#REF!</definedName>
    <definedName name="VentaAnsermaCartago">#REF!</definedName>
    <definedName name="VentaMediacanoaAnserma">#REF!</definedName>
    <definedName name="VENTANAS_ITEM" localSheetId="17">#REF!</definedName>
    <definedName name="VENTANAS_ITEM" localSheetId="18">#REF!</definedName>
    <definedName name="VENTANAS_ITEM">#REF!</definedName>
    <definedName name="VentaVenta">#REF!</definedName>
    <definedName name="VENTI">#REF!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A_PITAL___LA_PLATA">#REF!</definedName>
    <definedName name="VIAJ">#REF!</definedName>
    <definedName name="VIAJE" localSheetId="0">#REF!</definedName>
    <definedName name="VIAJE">#REF!</definedName>
    <definedName name="VIAJEMED">#REF!</definedName>
    <definedName name="VIASPATIOS" localSheetId="17">#REF!</definedName>
    <definedName name="VIASPATIOS" localSheetId="18">#REF!</definedName>
    <definedName name="VIASPATIOS" localSheetId="2">#REF!</definedName>
    <definedName name="VIASPATIOS">#REF!</definedName>
    <definedName name="VIBGA" localSheetId="0">#REF!</definedName>
    <definedName name="VIBGA">#REF!</definedName>
    <definedName name="vibr">#REF!</definedName>
    <definedName name="VIBRADOR" localSheetId="0">#REF!</definedName>
    <definedName name="VIBRADOR">#REF!</definedName>
    <definedName name="VIBRE" localSheetId="0">#REF!</definedName>
    <definedName name="VIBRE">#REF!</definedName>
    <definedName name="victor">#REF!</definedName>
    <definedName name="VIDRI">#REF!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#REF!</definedName>
    <definedName name="VolCIM">#REF!</definedName>
    <definedName name="volm3km">#REF!</definedName>
    <definedName name="VolPE">#REF!</definedName>
    <definedName name="VolPVC">#REF!</definedName>
    <definedName name="Volumen">#REF!</definedName>
    <definedName name="vsdfj" hidden="1">{"via1",#N/A,TRUE,"general";"via2",#N/A,TRUE,"general";"via3",#N/A,TRUE,"general"}</definedName>
    <definedName name="vt" hidden="1">{"via1",#N/A,TRUE,"general";"via2",#N/A,TRUE,"general";"via3",#N/A,TRUE,"general"}</definedName>
    <definedName name="VUELTA">#REF!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7">#REF!</definedName>
    <definedName name="W" localSheetId="18">#REF!</definedName>
    <definedName name="w" localSheetId="0">#REF!</definedName>
    <definedName name="W" localSheetId="2">#REF!</definedName>
    <definedName name="W">#REF!</definedName>
    <definedName name="w2w2w" hidden="1">{"via1",#N/A,TRUE,"general";"via2",#N/A,TRUE,"general";"via3",#N/A,TRUE,"general"}</definedName>
    <definedName name="WA" localSheetId="5">#REF!</definedName>
    <definedName name="WA" localSheetId="15">#REF!</definedName>
    <definedName name="WA" localSheetId="16">#REF!</definedName>
    <definedName name="WA" localSheetId="18">#REF!</definedName>
    <definedName name="WA" localSheetId="6">#REF!</definedName>
    <definedName name="WA" localSheetId="7">#REF!</definedName>
    <definedName name="WA" localSheetId="10">#REF!</definedName>
    <definedName name="WA" localSheetId="11">#REF!</definedName>
    <definedName name="WA" localSheetId="22">#REF!</definedName>
    <definedName name="WA">#REF!</definedName>
    <definedName name="we">#REF!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formu." localSheetId="0" hidden="1">{"VIA1",#N/A,TRUE,"formul";"VIA2",#N/A,TRUE,"formul";"VIA3",#N/A,TRUE,"formul"}</definedName>
    <definedName name="wrn.formu." localSheetId="22" hidden="1">{"VIA1",#N/A,TRUE,"formul";"VIA2",#N/A,TRUE,"formul";"VIA3",#N/A,TRUE,"formul"}</definedName>
    <definedName name="wrn.formu." localSheetId="21"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1"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22" hidden="1">{"via1",#N/A,TRUE,"general";"via2",#N/A,TRUE,"general";"via3",#N/A,TRUE,"general"}</definedName>
    <definedName name="wrn.via." localSheetId="21" hidden="1">{"via1",#N/A,TRUE,"general";"via2",#N/A,TRUE,"general";"via3",#N/A,TRUE,"general"}</definedName>
    <definedName name="wrn.via." hidden="1">{"via1",#N/A,TRUE,"general";"via2",#N/A,TRUE,"general";"via3",#N/A,TRUE,"general"}</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wvu.TAB1." localSheetId="2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2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5">#REF!</definedName>
    <definedName name="WW" localSheetId="15">#REF!</definedName>
    <definedName name="WW" localSheetId="16">#REF!</definedName>
    <definedName name="WW" localSheetId="18">#REF!</definedName>
    <definedName name="WW" localSheetId="6">#REF!</definedName>
    <definedName name="WW" localSheetId="7">#REF!</definedName>
    <definedName name="WW" localSheetId="10">#REF!</definedName>
    <definedName name="WW" localSheetId="11">#REF!</definedName>
    <definedName name="WW" localSheetId="22">#REF!</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17">#REF!</definedName>
    <definedName name="x" localSheetId="18">#REF!</definedName>
    <definedName name="x" localSheetId="0">#REF!</definedName>
    <definedName name="x" localSheetId="2">#REF!</definedName>
    <definedName name="x">#REF!</definedName>
    <definedName name="xa" localSheetId="17">#REF!</definedName>
    <definedName name="xa" localSheetId="18">#REF!</definedName>
    <definedName name="xa" localSheetId="2">#REF!</definedName>
    <definedName name="xa">#REF!</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 localSheetId="17">#REF!</definedName>
    <definedName name="xx" localSheetId="18">#REF!</definedName>
    <definedName name="XX" localSheetId="0">#REF!</definedName>
    <definedName name="xx" localSheetId="2">#REF!</definedName>
    <definedName name="xx">#REF!</definedName>
    <definedName name="xxfg" hidden="1">{"via1",#N/A,TRUE,"general";"via2",#N/A,TRUE,"general";"via3",#N/A,TRUE,"general"}</definedName>
    <definedName name="xxx" localSheetId="17">#REF!</definedName>
    <definedName name="xxx" localSheetId="18">#REF!</definedName>
    <definedName name="XXX" localSheetId="0">#REF!</definedName>
    <definedName name="xxx" localSheetId="2">#REF!</definedName>
    <definedName name="xxx">#REF!</definedName>
    <definedName name="xxxx" localSheetId="17">#REF!</definedName>
    <definedName name="xxxx" localSheetId="18">#REF!</definedName>
    <definedName name="xxxx" localSheetId="2">#REF!</definedName>
    <definedName name="xxxx">#REF!</definedName>
    <definedName name="xxxxx" localSheetId="17">#REF!</definedName>
    <definedName name="xxxxx" localSheetId="18">#REF!</definedName>
    <definedName name="xxxxx" localSheetId="0">#REF!</definedName>
    <definedName name="xxxxx" localSheetId="2">#REF!</definedName>
    <definedName name="xxxxx">#REF!</definedName>
    <definedName name="xxxxxds" hidden="1">{"via1",#N/A,TRUE,"general";"via2",#N/A,TRUE,"general";"via3",#N/A,TRUE,"general"}</definedName>
    <definedName name="XXXXXXXX" localSheetId="14" hidden="1">{"via1",#N/A,TRUE,"general";"via2",#N/A,TRUE,"general";"via3",#N/A,TRUE,"general"}</definedName>
    <definedName name="xxxxxxxx" localSheetId="17">#REF!</definedName>
    <definedName name="xxxxxxxx" localSheetId="18">#REF!</definedName>
    <definedName name="XXXXXXXX" localSheetId="9" hidden="1">{"via1",#N/A,TRUE,"general";"via2",#N/A,TRUE,"general";"via3",#N/A,TRUE,"general"}</definedName>
    <definedName name="XXXXXXXX" localSheetId="11" hidden="1">{"via1",#N/A,TRUE,"general";"via2",#N/A,TRUE,"general";"via3",#N/A,TRUE,"general"}</definedName>
    <definedName name="XXXXXXXX" localSheetId="13" hidden="1">{"via1",#N/A,TRUE,"general";"via2",#N/A,TRUE,"general";"via3",#N/A,TRUE,"general"}</definedName>
    <definedName name="XXXXXXXX" localSheetId="20" hidden="1">{"via1",#N/A,TRUE,"general";"via2",#N/A,TRUE,"general";"via3",#N/A,TRUE,"general"}</definedName>
    <definedName name="XXXXXXXX" localSheetId="22" hidden="1">{"via1",#N/A,TRUE,"general";"via2",#N/A,TRUE,"general";"via3",#N/A,TRUE,"general"}</definedName>
    <definedName name="XXXXXXXX" localSheetId="21" hidden="1">{"via1",#N/A,TRUE,"general";"via2",#N/A,TRUE,"general";"via3",#N/A,TRUE,"general"}</definedName>
    <definedName name="xxxxxxxx" localSheetId="2">#REF!</definedName>
    <definedName name="xxxxxxxx">#REF!</definedName>
    <definedName name="xxxxxxxxxx29" hidden="1">{"via1",#N/A,TRUE,"general";"via2",#N/A,TRUE,"general";"via3",#N/A,TRUE,"general"}</definedName>
    <definedName name="xxxxxxxxxxx" localSheetId="17">#REF!</definedName>
    <definedName name="xxxxxxxxxxx" localSheetId="18">#REF!</definedName>
    <definedName name="xxxxxxxxxxx" localSheetId="2">#REF!</definedName>
    <definedName name="xxxxxxxxxxx">#REF!</definedName>
    <definedName name="xxxxxxxxxxxxxxxxxxxxx" localSheetId="17">#REF!</definedName>
    <definedName name="xxxxxxxxxxxxxxxxxxxxx" localSheetId="18">#REF!</definedName>
    <definedName name="xxxxxxxxxxxxxxxxxxxxx" localSheetId="2">#REF!</definedName>
    <definedName name="xxxxxxxxxxxxxxxxxxxxx">#REF!</definedName>
    <definedName name="XZXZV" hidden="1">{"via1",#N/A,TRUE,"general";"via2",#N/A,TRUE,"general";"via3",#N/A,TRUE,"general"}</definedName>
    <definedName name="Y" localSheetId="5">#REF!</definedName>
    <definedName name="Y" localSheetId="15">#REF!</definedName>
    <definedName name="Y" localSheetId="16">#REF!</definedName>
    <definedName name="Y" localSheetId="18">#REF!</definedName>
    <definedName name="Y" localSheetId="6">#REF!</definedName>
    <definedName name="Y" localSheetId="7">#REF!</definedName>
    <definedName name="Y" localSheetId="10">#REF!</definedName>
    <definedName name="Y" localSheetId="11">#REF!</definedName>
    <definedName name="Y" localSheetId="22">#REF!</definedName>
    <definedName name="Y">#REF!</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lombo">#REF!</definedName>
    <definedName name="yrey" hidden="1">{"via1",#N/A,TRUE,"general";"via2",#N/A,TRUE,"general";"via3",#N/A,TRUE,"general"}</definedName>
    <definedName name="yry" hidden="1">{"via1",#N/A,TRUE,"general";"via2",#N/A,TRUE,"general";"via3",#N/A,TRUE,"general"}</definedName>
    <definedName name="yryr" localSheetId="17">#REF!</definedName>
    <definedName name="yryr" localSheetId="18">#REF!</definedName>
    <definedName name="yryr" localSheetId="2">#REF!</definedName>
    <definedName name="yryr">#REF!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22" hidden="1">{"TAB1",#N/A,TRUE,"GENERAL";"TAB2",#N/A,TRUE,"GENERAL";"TAB3",#N/A,TRUE,"GENERAL";"TAB4",#N/A,TRUE,"GENERAL";"TAB5",#N/A,TRUE,"GENERAL"}</definedName>
    <definedName name="yuf" localSheetId="21"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YYY">#REF!</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7">#REF!</definedName>
    <definedName name="Z" localSheetId="18">#REF!</definedName>
    <definedName name="z" localSheetId="0">#REF!</definedName>
    <definedName name="Z" localSheetId="2">#REF!</definedName>
    <definedName name="Z">#REF!</definedName>
    <definedName name="Z_026CD6D7_F7CA_4BE8_B625_9A1778CFA739_.wvu.FilterData" localSheetId="14" hidden="1">#REF!</definedName>
    <definedName name="Z_026CD6D7_F7CA_4BE8_B625_9A1778CFA739_.wvu.FilterData" localSheetId="17" hidden="1">#REF!</definedName>
    <definedName name="Z_026CD6D7_F7CA_4BE8_B625_9A1778CFA739_.wvu.FilterData" localSheetId="18" hidden="1">#REF!</definedName>
    <definedName name="Z_026CD6D7_F7CA_4BE8_B625_9A1778CFA739_.wvu.FilterData" localSheetId="9" hidden="1">#REF!</definedName>
    <definedName name="Z_026CD6D7_F7CA_4BE8_B625_9A1778CFA739_.wvu.FilterData" localSheetId="11" hidden="1">#REF!</definedName>
    <definedName name="Z_026CD6D7_F7CA_4BE8_B625_9A1778CFA739_.wvu.FilterData" localSheetId="13" hidden="1">#REF!</definedName>
    <definedName name="Z_026CD6D7_F7CA_4BE8_B625_9A1778CFA739_.wvu.FilterData" localSheetId="20" hidden="1">#REF!</definedName>
    <definedName name="Z_026CD6D7_F7CA_4BE8_B625_9A1778CFA739_.wvu.FilterData" localSheetId="22" hidden="1">#REF!</definedName>
    <definedName name="Z_026CD6D7_F7CA_4BE8_B625_9A1778CFA739_.wvu.FilterData" localSheetId="21" hidden="1">#REF!</definedName>
    <definedName name="Z_026CD6D7_F7CA_4BE8_B625_9A1778CFA739_.wvu.FilterData" hidden="1">#REF!</definedName>
    <definedName name="Z_026CD6D7_F7CA_4BE8_B625_9A1778CFA739_.wvu.PrintArea" localSheetId="14" hidden="1">#REF!</definedName>
    <definedName name="Z_026CD6D7_F7CA_4BE8_B625_9A1778CFA739_.wvu.PrintArea" localSheetId="17" hidden="1">#REF!</definedName>
    <definedName name="Z_026CD6D7_F7CA_4BE8_B625_9A1778CFA739_.wvu.PrintArea" localSheetId="18" hidden="1">#REF!</definedName>
    <definedName name="Z_026CD6D7_F7CA_4BE8_B625_9A1778CFA739_.wvu.PrintArea" localSheetId="9" hidden="1">#REF!</definedName>
    <definedName name="Z_026CD6D7_F7CA_4BE8_B625_9A1778CFA739_.wvu.PrintArea" localSheetId="11" hidden="1">#REF!</definedName>
    <definedName name="Z_026CD6D7_F7CA_4BE8_B625_9A1778CFA739_.wvu.PrintArea" localSheetId="13" hidden="1">#REF!</definedName>
    <definedName name="Z_026CD6D7_F7CA_4BE8_B625_9A1778CFA739_.wvu.PrintArea" localSheetId="20" hidden="1">#REF!</definedName>
    <definedName name="Z_026CD6D7_F7CA_4BE8_B625_9A1778CFA739_.wvu.PrintArea" localSheetId="22" hidden="1">#REF!</definedName>
    <definedName name="Z_026CD6D7_F7CA_4BE8_B625_9A1778CFA739_.wvu.PrintArea" localSheetId="21" hidden="1">#REF!</definedName>
    <definedName name="Z_026CD6D7_F7CA_4BE8_B625_9A1778CFA739_.wvu.PrintArea" hidden="1">#REF!</definedName>
    <definedName name="Z_026CD6D7_F7CA_4BE8_B625_9A1778CFA739_.wvu.PrintTitles" localSheetId="14" hidden="1">#REF!</definedName>
    <definedName name="Z_026CD6D7_F7CA_4BE8_B625_9A1778CFA739_.wvu.PrintTitles" localSheetId="17" hidden="1">#REF!</definedName>
    <definedName name="Z_026CD6D7_F7CA_4BE8_B625_9A1778CFA739_.wvu.PrintTitles" localSheetId="18" hidden="1">#REF!</definedName>
    <definedName name="Z_026CD6D7_F7CA_4BE8_B625_9A1778CFA739_.wvu.PrintTitles" localSheetId="9" hidden="1">#REF!</definedName>
    <definedName name="Z_026CD6D7_F7CA_4BE8_B625_9A1778CFA739_.wvu.PrintTitles" localSheetId="11" hidden="1">#REF!</definedName>
    <definedName name="Z_026CD6D7_F7CA_4BE8_B625_9A1778CFA739_.wvu.PrintTitles" localSheetId="13" hidden="1">#REF!</definedName>
    <definedName name="Z_026CD6D7_F7CA_4BE8_B625_9A1778CFA739_.wvu.PrintTitles" localSheetId="20" hidden="1">#REF!</definedName>
    <definedName name="Z_026CD6D7_F7CA_4BE8_B625_9A1778CFA739_.wvu.PrintTitles" localSheetId="22" hidden="1">#REF!</definedName>
    <definedName name="Z_026CD6D7_F7CA_4BE8_B625_9A1778CFA739_.wvu.PrintTitles" localSheetId="21" hidden="1">#REF!</definedName>
    <definedName name="Z_026CD6D7_F7CA_4BE8_B625_9A1778CFA739_.wvu.PrintTitles" hidden="1">#REF!</definedName>
    <definedName name="Z_05670E35_1347_49D9_AD91_AA9A31A4EF61_.wvu.FilterData" localSheetId="14" hidden="1">#REF!</definedName>
    <definedName name="Z_05670E35_1347_49D9_AD91_AA9A31A4EF61_.wvu.FilterData" localSheetId="17" hidden="1">#REF!</definedName>
    <definedName name="Z_05670E35_1347_49D9_AD91_AA9A31A4EF61_.wvu.FilterData" localSheetId="18" hidden="1">#REF!</definedName>
    <definedName name="Z_05670E35_1347_49D9_AD91_AA9A31A4EF61_.wvu.FilterData" localSheetId="9" hidden="1">#REF!</definedName>
    <definedName name="Z_05670E35_1347_49D9_AD91_AA9A31A4EF61_.wvu.FilterData" localSheetId="11" hidden="1">#REF!</definedName>
    <definedName name="Z_05670E35_1347_49D9_AD91_AA9A31A4EF61_.wvu.FilterData" localSheetId="13" hidden="1">#REF!</definedName>
    <definedName name="Z_05670E35_1347_49D9_AD91_AA9A31A4EF61_.wvu.FilterData" localSheetId="20" hidden="1">#REF!</definedName>
    <definedName name="Z_05670E35_1347_49D9_AD91_AA9A31A4EF61_.wvu.FilterData" localSheetId="22" hidden="1">#REF!</definedName>
    <definedName name="Z_05670E35_1347_49D9_AD91_AA9A31A4EF61_.wvu.FilterData" localSheetId="21" hidden="1">#REF!</definedName>
    <definedName name="Z_05670E35_1347_49D9_AD91_AA9A31A4EF61_.wvu.FilterData" hidden="1">#REF!</definedName>
    <definedName name="Z_05670E35_1347_49D9_AD91_AA9A31A4EF61_.wvu.PrintArea" localSheetId="14" hidden="1">#REF!</definedName>
    <definedName name="Z_05670E35_1347_49D9_AD91_AA9A31A4EF61_.wvu.PrintArea" localSheetId="17" hidden="1">#REF!</definedName>
    <definedName name="Z_05670E35_1347_49D9_AD91_AA9A31A4EF61_.wvu.PrintArea" localSheetId="18" hidden="1">#REF!</definedName>
    <definedName name="Z_05670E35_1347_49D9_AD91_AA9A31A4EF61_.wvu.PrintArea" localSheetId="9" hidden="1">#REF!</definedName>
    <definedName name="Z_05670E35_1347_49D9_AD91_AA9A31A4EF61_.wvu.PrintArea" localSheetId="11" hidden="1">#REF!</definedName>
    <definedName name="Z_05670E35_1347_49D9_AD91_AA9A31A4EF61_.wvu.PrintArea" localSheetId="13" hidden="1">#REF!</definedName>
    <definedName name="Z_05670E35_1347_49D9_AD91_AA9A31A4EF61_.wvu.PrintArea" localSheetId="20" hidden="1">#REF!</definedName>
    <definedName name="Z_05670E35_1347_49D9_AD91_AA9A31A4EF61_.wvu.PrintArea" localSheetId="22" hidden="1">#REF!</definedName>
    <definedName name="Z_05670E35_1347_49D9_AD91_AA9A31A4EF61_.wvu.PrintArea" localSheetId="21" hidden="1">#REF!</definedName>
    <definedName name="Z_05670E35_1347_49D9_AD91_AA9A31A4EF61_.wvu.PrintArea" hidden="1">#REF!</definedName>
    <definedName name="Z_05670E35_1347_49D9_AD91_AA9A31A4EF61_.wvu.PrintTitles" localSheetId="14" hidden="1">#REF!</definedName>
    <definedName name="Z_05670E35_1347_49D9_AD91_AA9A31A4EF61_.wvu.PrintTitles" localSheetId="17" hidden="1">#REF!</definedName>
    <definedName name="Z_05670E35_1347_49D9_AD91_AA9A31A4EF61_.wvu.PrintTitles" localSheetId="18" hidden="1">#REF!</definedName>
    <definedName name="Z_05670E35_1347_49D9_AD91_AA9A31A4EF61_.wvu.PrintTitles" localSheetId="9" hidden="1">#REF!</definedName>
    <definedName name="Z_05670E35_1347_49D9_AD91_AA9A31A4EF61_.wvu.PrintTitles" localSheetId="11" hidden="1">#REF!</definedName>
    <definedName name="Z_05670E35_1347_49D9_AD91_AA9A31A4EF61_.wvu.PrintTitles" localSheetId="13" hidden="1">#REF!</definedName>
    <definedName name="Z_05670E35_1347_49D9_AD91_AA9A31A4EF61_.wvu.PrintTitles" localSheetId="20" hidden="1">#REF!</definedName>
    <definedName name="Z_05670E35_1347_49D9_AD91_AA9A31A4EF61_.wvu.PrintTitles" localSheetId="22" hidden="1">#REF!</definedName>
    <definedName name="Z_05670E35_1347_49D9_AD91_AA9A31A4EF61_.wvu.PrintTitles" localSheetId="21" hidden="1">#REF!</definedName>
    <definedName name="Z_05670E35_1347_49D9_AD91_AA9A31A4EF61_.wvu.PrintTitles" hidden="1">#REF!</definedName>
    <definedName name="Z_086A872D_15DF_436A_8459_CE22F6819FF4_.wvu.Rows" hidden="1">#REF!</definedName>
    <definedName name="Z_0890F28A_A8C8_451C_A3E6_C3AFDD239B64_.wvu.FilterData" localSheetId="14" hidden="1">#REF!</definedName>
    <definedName name="Z_0890F28A_A8C8_451C_A3E6_C3AFDD239B64_.wvu.FilterData" localSheetId="17" hidden="1">#REF!</definedName>
    <definedName name="Z_0890F28A_A8C8_451C_A3E6_C3AFDD239B64_.wvu.FilterData" localSheetId="18" hidden="1">#REF!</definedName>
    <definedName name="Z_0890F28A_A8C8_451C_A3E6_C3AFDD239B64_.wvu.FilterData" localSheetId="9" hidden="1">#REF!</definedName>
    <definedName name="Z_0890F28A_A8C8_451C_A3E6_C3AFDD239B64_.wvu.FilterData" localSheetId="11" hidden="1">#REF!</definedName>
    <definedName name="Z_0890F28A_A8C8_451C_A3E6_C3AFDD239B64_.wvu.FilterData" localSheetId="13" hidden="1">#REF!</definedName>
    <definedName name="Z_0890F28A_A8C8_451C_A3E6_C3AFDD239B64_.wvu.FilterData" localSheetId="20" hidden="1">#REF!</definedName>
    <definedName name="Z_0890F28A_A8C8_451C_A3E6_C3AFDD239B64_.wvu.FilterData" localSheetId="22" hidden="1">#REF!</definedName>
    <definedName name="Z_0890F28A_A8C8_451C_A3E6_C3AFDD239B64_.wvu.FilterData" localSheetId="21" hidden="1">#REF!</definedName>
    <definedName name="Z_0890F28A_A8C8_451C_A3E6_C3AFDD239B64_.wvu.FilterData" hidden="1">#REF!</definedName>
    <definedName name="Z_0890F28A_A8C8_451C_A3E6_C3AFDD239B64_.wvu.PrintArea" localSheetId="14" hidden="1">#REF!</definedName>
    <definedName name="Z_0890F28A_A8C8_451C_A3E6_C3AFDD239B64_.wvu.PrintArea" localSheetId="17" hidden="1">#REF!</definedName>
    <definedName name="Z_0890F28A_A8C8_451C_A3E6_C3AFDD239B64_.wvu.PrintArea" localSheetId="18" hidden="1">#REF!</definedName>
    <definedName name="Z_0890F28A_A8C8_451C_A3E6_C3AFDD239B64_.wvu.PrintArea" localSheetId="9" hidden="1">#REF!</definedName>
    <definedName name="Z_0890F28A_A8C8_451C_A3E6_C3AFDD239B64_.wvu.PrintArea" localSheetId="11" hidden="1">#REF!</definedName>
    <definedName name="Z_0890F28A_A8C8_451C_A3E6_C3AFDD239B64_.wvu.PrintArea" localSheetId="13" hidden="1">#REF!</definedName>
    <definedName name="Z_0890F28A_A8C8_451C_A3E6_C3AFDD239B64_.wvu.PrintArea" localSheetId="20" hidden="1">#REF!</definedName>
    <definedName name="Z_0890F28A_A8C8_451C_A3E6_C3AFDD239B64_.wvu.PrintArea" localSheetId="22" hidden="1">#REF!</definedName>
    <definedName name="Z_0890F28A_A8C8_451C_A3E6_C3AFDD239B64_.wvu.PrintArea" localSheetId="21" hidden="1">#REF!</definedName>
    <definedName name="Z_0890F28A_A8C8_451C_A3E6_C3AFDD239B64_.wvu.PrintArea" hidden="1">#REF!</definedName>
    <definedName name="Z_0890F28A_A8C8_451C_A3E6_C3AFDD239B64_.wvu.PrintTitles" localSheetId="14" hidden="1">#REF!</definedName>
    <definedName name="Z_0890F28A_A8C8_451C_A3E6_C3AFDD239B64_.wvu.PrintTitles" localSheetId="17" hidden="1">#REF!</definedName>
    <definedName name="Z_0890F28A_A8C8_451C_A3E6_C3AFDD239B64_.wvu.PrintTitles" localSheetId="18" hidden="1">#REF!</definedName>
    <definedName name="Z_0890F28A_A8C8_451C_A3E6_C3AFDD239B64_.wvu.PrintTitles" localSheetId="9" hidden="1">#REF!</definedName>
    <definedName name="Z_0890F28A_A8C8_451C_A3E6_C3AFDD239B64_.wvu.PrintTitles" localSheetId="11" hidden="1">#REF!</definedName>
    <definedName name="Z_0890F28A_A8C8_451C_A3E6_C3AFDD239B64_.wvu.PrintTitles" localSheetId="13" hidden="1">#REF!</definedName>
    <definedName name="Z_0890F28A_A8C8_451C_A3E6_C3AFDD239B64_.wvu.PrintTitles" localSheetId="20" hidden="1">#REF!</definedName>
    <definedName name="Z_0890F28A_A8C8_451C_A3E6_C3AFDD239B64_.wvu.PrintTitles" localSheetId="22" hidden="1">#REF!</definedName>
    <definedName name="Z_0890F28A_A8C8_451C_A3E6_C3AFDD239B64_.wvu.PrintTitles" localSheetId="21" hidden="1">#REF!</definedName>
    <definedName name="Z_0890F28A_A8C8_451C_A3E6_C3AFDD239B64_.wvu.PrintTitles" hidden="1">#REF!</definedName>
    <definedName name="Z_0A4C2D72_EA87_11DA_B6F6_00609720E0A1_.wvu.FilterData" localSheetId="14" hidden="1">#REF!</definedName>
    <definedName name="Z_0A4C2D72_EA87_11DA_B6F6_00609720E0A1_.wvu.FilterData" localSheetId="17" hidden="1">#REF!</definedName>
    <definedName name="Z_0A4C2D72_EA87_11DA_B6F6_00609720E0A1_.wvu.FilterData" localSheetId="18" hidden="1">#REF!</definedName>
    <definedName name="Z_0A4C2D72_EA87_11DA_B6F6_00609720E0A1_.wvu.FilterData" localSheetId="9" hidden="1">#REF!</definedName>
    <definedName name="Z_0A4C2D72_EA87_11DA_B6F6_00609720E0A1_.wvu.FilterData" localSheetId="11" hidden="1">#REF!</definedName>
    <definedName name="Z_0A4C2D72_EA87_11DA_B6F6_00609720E0A1_.wvu.FilterData" localSheetId="13" hidden="1">#REF!</definedName>
    <definedName name="Z_0A4C2D72_EA87_11DA_B6F6_00609720E0A1_.wvu.FilterData" localSheetId="20" hidden="1">#REF!</definedName>
    <definedName name="Z_0A4C2D72_EA87_11DA_B6F6_00609720E0A1_.wvu.FilterData" localSheetId="22" hidden="1">#REF!</definedName>
    <definedName name="Z_0A4C2D72_EA87_11DA_B6F6_00609720E0A1_.wvu.FilterData" localSheetId="21" hidden="1">#REF!</definedName>
    <definedName name="Z_0A4C2D72_EA87_11DA_B6F6_00609720E0A1_.wvu.FilterData" hidden="1">#REF!</definedName>
    <definedName name="Z_0A4C2D72_EA87_11DA_B6F6_00609720E0A1_.wvu.PrintArea" localSheetId="14" hidden="1">#REF!</definedName>
    <definedName name="Z_0A4C2D72_EA87_11DA_B6F6_00609720E0A1_.wvu.PrintArea" localSheetId="17" hidden="1">#REF!</definedName>
    <definedName name="Z_0A4C2D72_EA87_11DA_B6F6_00609720E0A1_.wvu.PrintArea" localSheetId="18" hidden="1">#REF!</definedName>
    <definedName name="Z_0A4C2D72_EA87_11DA_B6F6_00609720E0A1_.wvu.PrintArea" localSheetId="9" hidden="1">#REF!</definedName>
    <definedName name="Z_0A4C2D72_EA87_11DA_B6F6_00609720E0A1_.wvu.PrintArea" localSheetId="11" hidden="1">#REF!</definedName>
    <definedName name="Z_0A4C2D72_EA87_11DA_B6F6_00609720E0A1_.wvu.PrintArea" localSheetId="13" hidden="1">#REF!</definedName>
    <definedName name="Z_0A4C2D72_EA87_11DA_B6F6_00609720E0A1_.wvu.PrintArea" localSheetId="20" hidden="1">#REF!</definedName>
    <definedName name="Z_0A4C2D72_EA87_11DA_B6F6_00609720E0A1_.wvu.PrintArea" localSheetId="22" hidden="1">#REF!</definedName>
    <definedName name="Z_0A4C2D72_EA87_11DA_B6F6_00609720E0A1_.wvu.PrintArea" localSheetId="21" hidden="1">#REF!</definedName>
    <definedName name="Z_0A4C2D72_EA87_11DA_B6F6_00609720E0A1_.wvu.PrintArea" hidden="1">#REF!</definedName>
    <definedName name="Z_0A4C2D72_EA87_11DA_B6F6_00609720E0A1_.wvu.PrintTitles" localSheetId="14" hidden="1">#REF!</definedName>
    <definedName name="Z_0A4C2D72_EA87_11DA_B6F6_00609720E0A1_.wvu.PrintTitles" localSheetId="17" hidden="1">#REF!</definedName>
    <definedName name="Z_0A4C2D72_EA87_11DA_B6F6_00609720E0A1_.wvu.PrintTitles" localSheetId="18" hidden="1">#REF!</definedName>
    <definedName name="Z_0A4C2D72_EA87_11DA_B6F6_00609720E0A1_.wvu.PrintTitles" localSheetId="9" hidden="1">#REF!</definedName>
    <definedName name="Z_0A4C2D72_EA87_11DA_B6F6_00609720E0A1_.wvu.PrintTitles" localSheetId="11" hidden="1">#REF!</definedName>
    <definedName name="Z_0A4C2D72_EA87_11DA_B6F6_00609720E0A1_.wvu.PrintTitles" localSheetId="13" hidden="1">#REF!</definedName>
    <definedName name="Z_0A4C2D72_EA87_11DA_B6F6_00609720E0A1_.wvu.PrintTitles" localSheetId="20" hidden="1">#REF!</definedName>
    <definedName name="Z_0A4C2D72_EA87_11DA_B6F6_00609720E0A1_.wvu.PrintTitles" localSheetId="22" hidden="1">#REF!</definedName>
    <definedName name="Z_0A4C2D72_EA87_11DA_B6F6_00609720E0A1_.wvu.PrintTitles" localSheetId="21" hidden="1">#REF!</definedName>
    <definedName name="Z_0A4C2D72_EA87_11DA_B6F6_00609720E0A1_.wvu.PrintTitles" hidden="1">#REF!</definedName>
    <definedName name="Z_0A4C2D73_EA87_11DA_B6F6_00609720E0A1_.wvu.FilterData" localSheetId="14" hidden="1">#REF!</definedName>
    <definedName name="Z_0A4C2D73_EA87_11DA_B6F6_00609720E0A1_.wvu.FilterData" localSheetId="17" hidden="1">#REF!</definedName>
    <definedName name="Z_0A4C2D73_EA87_11DA_B6F6_00609720E0A1_.wvu.FilterData" localSheetId="18" hidden="1">#REF!</definedName>
    <definedName name="Z_0A4C2D73_EA87_11DA_B6F6_00609720E0A1_.wvu.FilterData" localSheetId="9" hidden="1">#REF!</definedName>
    <definedName name="Z_0A4C2D73_EA87_11DA_B6F6_00609720E0A1_.wvu.FilterData" localSheetId="11" hidden="1">#REF!</definedName>
    <definedName name="Z_0A4C2D73_EA87_11DA_B6F6_00609720E0A1_.wvu.FilterData" localSheetId="13" hidden="1">#REF!</definedName>
    <definedName name="Z_0A4C2D73_EA87_11DA_B6F6_00609720E0A1_.wvu.FilterData" localSheetId="20" hidden="1">#REF!</definedName>
    <definedName name="Z_0A4C2D73_EA87_11DA_B6F6_00609720E0A1_.wvu.FilterData" localSheetId="22" hidden="1">#REF!</definedName>
    <definedName name="Z_0A4C2D73_EA87_11DA_B6F6_00609720E0A1_.wvu.FilterData" localSheetId="21" hidden="1">#REF!</definedName>
    <definedName name="Z_0A4C2D73_EA87_11DA_B6F6_00609720E0A1_.wvu.FilterData" hidden="1">#REF!</definedName>
    <definedName name="Z_0A4C2D73_EA87_11DA_B6F6_00609720E0A1_.wvu.PrintArea" localSheetId="14" hidden="1">#REF!</definedName>
    <definedName name="Z_0A4C2D73_EA87_11DA_B6F6_00609720E0A1_.wvu.PrintArea" localSheetId="17" hidden="1">#REF!</definedName>
    <definedName name="Z_0A4C2D73_EA87_11DA_B6F6_00609720E0A1_.wvu.PrintArea" localSheetId="18" hidden="1">#REF!</definedName>
    <definedName name="Z_0A4C2D73_EA87_11DA_B6F6_00609720E0A1_.wvu.PrintArea" localSheetId="9" hidden="1">#REF!</definedName>
    <definedName name="Z_0A4C2D73_EA87_11DA_B6F6_00609720E0A1_.wvu.PrintArea" localSheetId="11" hidden="1">#REF!</definedName>
    <definedName name="Z_0A4C2D73_EA87_11DA_B6F6_00609720E0A1_.wvu.PrintArea" localSheetId="13" hidden="1">#REF!</definedName>
    <definedName name="Z_0A4C2D73_EA87_11DA_B6F6_00609720E0A1_.wvu.PrintArea" localSheetId="20" hidden="1">#REF!</definedName>
    <definedName name="Z_0A4C2D73_EA87_11DA_B6F6_00609720E0A1_.wvu.PrintArea" localSheetId="22" hidden="1">#REF!</definedName>
    <definedName name="Z_0A4C2D73_EA87_11DA_B6F6_00609720E0A1_.wvu.PrintArea" localSheetId="21" hidden="1">#REF!</definedName>
    <definedName name="Z_0A4C2D73_EA87_11DA_B6F6_00609720E0A1_.wvu.PrintArea" hidden="1">#REF!</definedName>
    <definedName name="Z_0A4C2D73_EA87_11DA_B6F6_00609720E0A1_.wvu.PrintTitles" localSheetId="14" hidden="1">#REF!</definedName>
    <definedName name="Z_0A4C2D73_EA87_11DA_B6F6_00609720E0A1_.wvu.PrintTitles" localSheetId="17" hidden="1">#REF!</definedName>
    <definedName name="Z_0A4C2D73_EA87_11DA_B6F6_00609720E0A1_.wvu.PrintTitles" localSheetId="18" hidden="1">#REF!</definedName>
    <definedName name="Z_0A4C2D73_EA87_11DA_B6F6_00609720E0A1_.wvu.PrintTitles" localSheetId="9" hidden="1">#REF!</definedName>
    <definedName name="Z_0A4C2D73_EA87_11DA_B6F6_00609720E0A1_.wvu.PrintTitles" localSheetId="11" hidden="1">#REF!</definedName>
    <definedName name="Z_0A4C2D73_EA87_11DA_B6F6_00609720E0A1_.wvu.PrintTitles" localSheetId="13" hidden="1">#REF!</definedName>
    <definedName name="Z_0A4C2D73_EA87_11DA_B6F6_00609720E0A1_.wvu.PrintTitles" localSheetId="20" hidden="1">#REF!</definedName>
    <definedName name="Z_0A4C2D73_EA87_11DA_B6F6_00609720E0A1_.wvu.PrintTitles" localSheetId="22" hidden="1">#REF!</definedName>
    <definedName name="Z_0A4C2D73_EA87_11DA_B6F6_00609720E0A1_.wvu.PrintTitles" localSheetId="21" hidden="1">#REF!</definedName>
    <definedName name="Z_0A4C2D73_EA87_11DA_B6F6_00609720E0A1_.wvu.PrintTitles" hidden="1">#REF!</definedName>
    <definedName name="Z_0A4C2D74_EA87_11DA_B6F6_00609720E0A1_.wvu.FilterData" localSheetId="14" hidden="1">#REF!</definedName>
    <definedName name="Z_0A4C2D74_EA87_11DA_B6F6_00609720E0A1_.wvu.FilterData" localSheetId="17" hidden="1">#REF!</definedName>
    <definedName name="Z_0A4C2D74_EA87_11DA_B6F6_00609720E0A1_.wvu.FilterData" localSheetId="18" hidden="1">#REF!</definedName>
    <definedName name="Z_0A4C2D74_EA87_11DA_B6F6_00609720E0A1_.wvu.FilterData" localSheetId="9" hidden="1">#REF!</definedName>
    <definedName name="Z_0A4C2D74_EA87_11DA_B6F6_00609720E0A1_.wvu.FilterData" localSheetId="11" hidden="1">#REF!</definedName>
    <definedName name="Z_0A4C2D74_EA87_11DA_B6F6_00609720E0A1_.wvu.FilterData" localSheetId="13" hidden="1">#REF!</definedName>
    <definedName name="Z_0A4C2D74_EA87_11DA_B6F6_00609720E0A1_.wvu.FilterData" localSheetId="20" hidden="1">#REF!</definedName>
    <definedName name="Z_0A4C2D74_EA87_11DA_B6F6_00609720E0A1_.wvu.FilterData" localSheetId="22" hidden="1">#REF!</definedName>
    <definedName name="Z_0A4C2D74_EA87_11DA_B6F6_00609720E0A1_.wvu.FilterData" localSheetId="21" hidden="1">#REF!</definedName>
    <definedName name="Z_0A4C2D74_EA87_11DA_B6F6_00609720E0A1_.wvu.FilterData" hidden="1">#REF!</definedName>
    <definedName name="Z_0A4C2D74_EA87_11DA_B6F6_00609720E0A1_.wvu.PrintArea" localSheetId="14" hidden="1">#REF!</definedName>
    <definedName name="Z_0A4C2D74_EA87_11DA_B6F6_00609720E0A1_.wvu.PrintArea" localSheetId="17" hidden="1">#REF!</definedName>
    <definedName name="Z_0A4C2D74_EA87_11DA_B6F6_00609720E0A1_.wvu.PrintArea" localSheetId="18" hidden="1">#REF!</definedName>
    <definedName name="Z_0A4C2D74_EA87_11DA_B6F6_00609720E0A1_.wvu.PrintArea" localSheetId="9" hidden="1">#REF!</definedName>
    <definedName name="Z_0A4C2D74_EA87_11DA_B6F6_00609720E0A1_.wvu.PrintArea" localSheetId="11" hidden="1">#REF!</definedName>
    <definedName name="Z_0A4C2D74_EA87_11DA_B6F6_00609720E0A1_.wvu.PrintArea" localSheetId="13" hidden="1">#REF!</definedName>
    <definedName name="Z_0A4C2D74_EA87_11DA_B6F6_00609720E0A1_.wvu.PrintArea" localSheetId="20" hidden="1">#REF!</definedName>
    <definedName name="Z_0A4C2D74_EA87_11DA_B6F6_00609720E0A1_.wvu.PrintArea" localSheetId="22" hidden="1">#REF!</definedName>
    <definedName name="Z_0A4C2D74_EA87_11DA_B6F6_00609720E0A1_.wvu.PrintArea" localSheetId="21" hidden="1">#REF!</definedName>
    <definedName name="Z_0A4C2D74_EA87_11DA_B6F6_00609720E0A1_.wvu.PrintArea" hidden="1">#REF!</definedName>
    <definedName name="Z_0A4C2D74_EA87_11DA_B6F6_00609720E0A1_.wvu.PrintTitles" localSheetId="14" hidden="1">#REF!</definedName>
    <definedName name="Z_0A4C2D74_EA87_11DA_B6F6_00609720E0A1_.wvu.PrintTitles" localSheetId="17" hidden="1">#REF!</definedName>
    <definedName name="Z_0A4C2D74_EA87_11DA_B6F6_00609720E0A1_.wvu.PrintTitles" localSheetId="18" hidden="1">#REF!</definedName>
    <definedName name="Z_0A4C2D74_EA87_11DA_B6F6_00609720E0A1_.wvu.PrintTitles" localSheetId="9" hidden="1">#REF!</definedName>
    <definedName name="Z_0A4C2D74_EA87_11DA_B6F6_00609720E0A1_.wvu.PrintTitles" localSheetId="11" hidden="1">#REF!</definedName>
    <definedName name="Z_0A4C2D74_EA87_11DA_B6F6_00609720E0A1_.wvu.PrintTitles" localSheetId="13" hidden="1">#REF!</definedName>
    <definedName name="Z_0A4C2D74_EA87_11DA_B6F6_00609720E0A1_.wvu.PrintTitles" localSheetId="20" hidden="1">#REF!</definedName>
    <definedName name="Z_0A4C2D74_EA87_11DA_B6F6_00609720E0A1_.wvu.PrintTitles" localSheetId="22" hidden="1">#REF!</definedName>
    <definedName name="Z_0A4C2D74_EA87_11DA_B6F6_00609720E0A1_.wvu.PrintTitles" localSheetId="21" hidden="1">#REF!</definedName>
    <definedName name="Z_0A4C2D74_EA87_11DA_B6F6_00609720E0A1_.wvu.PrintTitles" hidden="1">#REF!</definedName>
    <definedName name="Z_0A4C2D75_EA87_11DA_B6F6_00609720E0A1_.wvu.FilterData" localSheetId="14" hidden="1">#REF!</definedName>
    <definedName name="Z_0A4C2D75_EA87_11DA_B6F6_00609720E0A1_.wvu.FilterData" localSheetId="17" hidden="1">#REF!</definedName>
    <definedName name="Z_0A4C2D75_EA87_11DA_B6F6_00609720E0A1_.wvu.FilterData" localSheetId="18" hidden="1">#REF!</definedName>
    <definedName name="Z_0A4C2D75_EA87_11DA_B6F6_00609720E0A1_.wvu.FilterData" localSheetId="9" hidden="1">#REF!</definedName>
    <definedName name="Z_0A4C2D75_EA87_11DA_B6F6_00609720E0A1_.wvu.FilterData" localSheetId="11" hidden="1">#REF!</definedName>
    <definedName name="Z_0A4C2D75_EA87_11DA_B6F6_00609720E0A1_.wvu.FilterData" localSheetId="13" hidden="1">#REF!</definedName>
    <definedName name="Z_0A4C2D75_EA87_11DA_B6F6_00609720E0A1_.wvu.FilterData" localSheetId="20" hidden="1">#REF!</definedName>
    <definedName name="Z_0A4C2D75_EA87_11DA_B6F6_00609720E0A1_.wvu.FilterData" localSheetId="22" hidden="1">#REF!</definedName>
    <definedName name="Z_0A4C2D75_EA87_11DA_B6F6_00609720E0A1_.wvu.FilterData" localSheetId="21" hidden="1">#REF!</definedName>
    <definedName name="Z_0A4C2D75_EA87_11DA_B6F6_00609720E0A1_.wvu.FilterData" hidden="1">#REF!</definedName>
    <definedName name="Z_0A4C2D75_EA87_11DA_B6F6_00609720E0A1_.wvu.PrintArea" localSheetId="14" hidden="1">#REF!</definedName>
    <definedName name="Z_0A4C2D75_EA87_11DA_B6F6_00609720E0A1_.wvu.PrintArea" localSheetId="17" hidden="1">#REF!</definedName>
    <definedName name="Z_0A4C2D75_EA87_11DA_B6F6_00609720E0A1_.wvu.PrintArea" localSheetId="18" hidden="1">#REF!</definedName>
    <definedName name="Z_0A4C2D75_EA87_11DA_B6F6_00609720E0A1_.wvu.PrintArea" localSheetId="9" hidden="1">#REF!</definedName>
    <definedName name="Z_0A4C2D75_EA87_11DA_B6F6_00609720E0A1_.wvu.PrintArea" localSheetId="11" hidden="1">#REF!</definedName>
    <definedName name="Z_0A4C2D75_EA87_11DA_B6F6_00609720E0A1_.wvu.PrintArea" localSheetId="13" hidden="1">#REF!</definedName>
    <definedName name="Z_0A4C2D75_EA87_11DA_B6F6_00609720E0A1_.wvu.PrintArea" localSheetId="20" hidden="1">#REF!</definedName>
    <definedName name="Z_0A4C2D75_EA87_11DA_B6F6_00609720E0A1_.wvu.PrintArea" localSheetId="22" hidden="1">#REF!</definedName>
    <definedName name="Z_0A4C2D75_EA87_11DA_B6F6_00609720E0A1_.wvu.PrintArea" localSheetId="21" hidden="1">#REF!</definedName>
    <definedName name="Z_0A4C2D75_EA87_11DA_B6F6_00609720E0A1_.wvu.PrintArea" hidden="1">#REF!</definedName>
    <definedName name="Z_0A4C2D75_EA87_11DA_B6F6_00609720E0A1_.wvu.PrintTitles" localSheetId="14" hidden="1">#REF!</definedName>
    <definedName name="Z_0A4C2D75_EA87_11DA_B6F6_00609720E0A1_.wvu.PrintTitles" localSheetId="17" hidden="1">#REF!</definedName>
    <definedName name="Z_0A4C2D75_EA87_11DA_B6F6_00609720E0A1_.wvu.PrintTitles" localSheetId="18" hidden="1">#REF!</definedName>
    <definedName name="Z_0A4C2D75_EA87_11DA_B6F6_00609720E0A1_.wvu.PrintTitles" localSheetId="9" hidden="1">#REF!</definedName>
    <definedName name="Z_0A4C2D75_EA87_11DA_B6F6_00609720E0A1_.wvu.PrintTitles" localSheetId="11" hidden="1">#REF!</definedName>
    <definedName name="Z_0A4C2D75_EA87_11DA_B6F6_00609720E0A1_.wvu.PrintTitles" localSheetId="13" hidden="1">#REF!</definedName>
    <definedName name="Z_0A4C2D75_EA87_11DA_B6F6_00609720E0A1_.wvu.PrintTitles" localSheetId="20" hidden="1">#REF!</definedName>
    <definedName name="Z_0A4C2D75_EA87_11DA_B6F6_00609720E0A1_.wvu.PrintTitles" localSheetId="22" hidden="1">#REF!</definedName>
    <definedName name="Z_0A4C2D75_EA87_11DA_B6F6_00609720E0A1_.wvu.PrintTitles" localSheetId="21" hidden="1">#REF!</definedName>
    <definedName name="Z_0A4C2D75_EA87_11DA_B6F6_00609720E0A1_.wvu.PrintTitles" hidden="1">#REF!</definedName>
    <definedName name="Z_0A4C2D76_EA87_11DA_B6F6_00609720E0A1_.wvu.FilterData" localSheetId="14" hidden="1">#REF!</definedName>
    <definedName name="Z_0A4C2D76_EA87_11DA_B6F6_00609720E0A1_.wvu.FilterData" localSheetId="17" hidden="1">#REF!</definedName>
    <definedName name="Z_0A4C2D76_EA87_11DA_B6F6_00609720E0A1_.wvu.FilterData" localSheetId="18" hidden="1">#REF!</definedName>
    <definedName name="Z_0A4C2D76_EA87_11DA_B6F6_00609720E0A1_.wvu.FilterData" localSheetId="9" hidden="1">#REF!</definedName>
    <definedName name="Z_0A4C2D76_EA87_11DA_B6F6_00609720E0A1_.wvu.FilterData" localSheetId="11" hidden="1">#REF!</definedName>
    <definedName name="Z_0A4C2D76_EA87_11DA_B6F6_00609720E0A1_.wvu.FilterData" localSheetId="13" hidden="1">#REF!</definedName>
    <definedName name="Z_0A4C2D76_EA87_11DA_B6F6_00609720E0A1_.wvu.FilterData" localSheetId="20" hidden="1">#REF!</definedName>
    <definedName name="Z_0A4C2D76_EA87_11DA_B6F6_00609720E0A1_.wvu.FilterData" localSheetId="22" hidden="1">#REF!</definedName>
    <definedName name="Z_0A4C2D76_EA87_11DA_B6F6_00609720E0A1_.wvu.FilterData" localSheetId="21" hidden="1">#REF!</definedName>
    <definedName name="Z_0A4C2D76_EA87_11DA_B6F6_00609720E0A1_.wvu.FilterData" hidden="1">#REF!</definedName>
    <definedName name="Z_0A4C2D76_EA87_11DA_B6F6_00609720E0A1_.wvu.PrintArea" localSheetId="14" hidden="1">#REF!</definedName>
    <definedName name="Z_0A4C2D76_EA87_11DA_B6F6_00609720E0A1_.wvu.PrintArea" localSheetId="17" hidden="1">#REF!</definedName>
    <definedName name="Z_0A4C2D76_EA87_11DA_B6F6_00609720E0A1_.wvu.PrintArea" localSheetId="18" hidden="1">#REF!</definedName>
    <definedName name="Z_0A4C2D76_EA87_11DA_B6F6_00609720E0A1_.wvu.PrintArea" localSheetId="9" hidden="1">#REF!</definedName>
    <definedName name="Z_0A4C2D76_EA87_11DA_B6F6_00609720E0A1_.wvu.PrintArea" localSheetId="11" hidden="1">#REF!</definedName>
    <definedName name="Z_0A4C2D76_EA87_11DA_B6F6_00609720E0A1_.wvu.PrintArea" localSheetId="13" hidden="1">#REF!</definedName>
    <definedName name="Z_0A4C2D76_EA87_11DA_B6F6_00609720E0A1_.wvu.PrintArea" localSheetId="20" hidden="1">#REF!</definedName>
    <definedName name="Z_0A4C2D76_EA87_11DA_B6F6_00609720E0A1_.wvu.PrintArea" localSheetId="22" hidden="1">#REF!</definedName>
    <definedName name="Z_0A4C2D76_EA87_11DA_B6F6_00609720E0A1_.wvu.PrintArea" localSheetId="21" hidden="1">#REF!</definedName>
    <definedName name="Z_0A4C2D76_EA87_11DA_B6F6_00609720E0A1_.wvu.PrintArea" hidden="1">#REF!</definedName>
    <definedName name="Z_0A4C2D76_EA87_11DA_B6F6_00609720E0A1_.wvu.PrintTitles" localSheetId="14" hidden="1">#REF!</definedName>
    <definedName name="Z_0A4C2D76_EA87_11DA_B6F6_00609720E0A1_.wvu.PrintTitles" localSheetId="17" hidden="1">#REF!</definedName>
    <definedName name="Z_0A4C2D76_EA87_11DA_B6F6_00609720E0A1_.wvu.PrintTitles" localSheetId="18" hidden="1">#REF!</definedName>
    <definedName name="Z_0A4C2D76_EA87_11DA_B6F6_00609720E0A1_.wvu.PrintTitles" localSheetId="9" hidden="1">#REF!</definedName>
    <definedName name="Z_0A4C2D76_EA87_11DA_B6F6_00609720E0A1_.wvu.PrintTitles" localSheetId="11" hidden="1">#REF!</definedName>
    <definedName name="Z_0A4C2D76_EA87_11DA_B6F6_00609720E0A1_.wvu.PrintTitles" localSheetId="13" hidden="1">#REF!</definedName>
    <definedName name="Z_0A4C2D76_EA87_11DA_B6F6_00609720E0A1_.wvu.PrintTitles" localSheetId="20" hidden="1">#REF!</definedName>
    <definedName name="Z_0A4C2D76_EA87_11DA_B6F6_00609720E0A1_.wvu.PrintTitles" localSheetId="22" hidden="1">#REF!</definedName>
    <definedName name="Z_0A4C2D76_EA87_11DA_B6F6_00609720E0A1_.wvu.PrintTitles" localSheetId="21" hidden="1">#REF!</definedName>
    <definedName name="Z_0A4C2D76_EA87_11DA_B6F6_00609720E0A1_.wvu.PrintTitles" hidden="1">#REF!</definedName>
    <definedName name="Z_0E0DE1F8_394A_4093_8E74_B2A631A3A88C_.wvu.FilterData" localSheetId="14" hidden="1">#REF!</definedName>
    <definedName name="Z_0E0DE1F8_394A_4093_8E74_B2A631A3A88C_.wvu.FilterData" localSheetId="17" hidden="1">#REF!</definedName>
    <definedName name="Z_0E0DE1F8_394A_4093_8E74_B2A631A3A88C_.wvu.FilterData" localSheetId="18" hidden="1">#REF!</definedName>
    <definedName name="Z_0E0DE1F8_394A_4093_8E74_B2A631A3A88C_.wvu.FilterData" localSheetId="9" hidden="1">#REF!</definedName>
    <definedName name="Z_0E0DE1F8_394A_4093_8E74_B2A631A3A88C_.wvu.FilterData" localSheetId="11" hidden="1">#REF!</definedName>
    <definedName name="Z_0E0DE1F8_394A_4093_8E74_B2A631A3A88C_.wvu.FilterData" localSheetId="13" hidden="1">#REF!</definedName>
    <definedName name="Z_0E0DE1F8_394A_4093_8E74_B2A631A3A88C_.wvu.FilterData" localSheetId="20" hidden="1">#REF!</definedName>
    <definedName name="Z_0E0DE1F8_394A_4093_8E74_B2A631A3A88C_.wvu.FilterData" localSheetId="22" hidden="1">#REF!</definedName>
    <definedName name="Z_0E0DE1F8_394A_4093_8E74_B2A631A3A88C_.wvu.FilterData" localSheetId="21" hidden="1">#REF!</definedName>
    <definedName name="Z_0E0DE1F8_394A_4093_8E74_B2A631A3A88C_.wvu.FilterData" hidden="1">#REF!</definedName>
    <definedName name="Z_0E0DE1F8_394A_4093_8E74_B2A631A3A88C_.wvu.PrintArea" localSheetId="14" hidden="1">#REF!</definedName>
    <definedName name="Z_0E0DE1F8_394A_4093_8E74_B2A631A3A88C_.wvu.PrintArea" localSheetId="17" hidden="1">#REF!</definedName>
    <definedName name="Z_0E0DE1F8_394A_4093_8E74_B2A631A3A88C_.wvu.PrintArea" localSheetId="18" hidden="1">#REF!</definedName>
    <definedName name="Z_0E0DE1F8_394A_4093_8E74_B2A631A3A88C_.wvu.PrintArea" localSheetId="9" hidden="1">#REF!</definedName>
    <definedName name="Z_0E0DE1F8_394A_4093_8E74_B2A631A3A88C_.wvu.PrintArea" localSheetId="11" hidden="1">#REF!</definedName>
    <definedName name="Z_0E0DE1F8_394A_4093_8E74_B2A631A3A88C_.wvu.PrintArea" localSheetId="13" hidden="1">#REF!</definedName>
    <definedName name="Z_0E0DE1F8_394A_4093_8E74_B2A631A3A88C_.wvu.PrintArea" localSheetId="20" hidden="1">#REF!</definedName>
    <definedName name="Z_0E0DE1F8_394A_4093_8E74_B2A631A3A88C_.wvu.PrintArea" localSheetId="22" hidden="1">#REF!</definedName>
    <definedName name="Z_0E0DE1F8_394A_4093_8E74_B2A631A3A88C_.wvu.PrintArea" localSheetId="21" hidden="1">#REF!</definedName>
    <definedName name="Z_0E0DE1F8_394A_4093_8E74_B2A631A3A88C_.wvu.PrintArea" hidden="1">#REF!</definedName>
    <definedName name="Z_0E0DE1F8_394A_4093_8E74_B2A631A3A88C_.wvu.PrintTitles" localSheetId="14" hidden="1">#REF!</definedName>
    <definedName name="Z_0E0DE1F8_394A_4093_8E74_B2A631A3A88C_.wvu.PrintTitles" localSheetId="17" hidden="1">#REF!</definedName>
    <definedName name="Z_0E0DE1F8_394A_4093_8E74_B2A631A3A88C_.wvu.PrintTitles" localSheetId="18" hidden="1">#REF!</definedName>
    <definedName name="Z_0E0DE1F8_394A_4093_8E74_B2A631A3A88C_.wvu.PrintTitles" localSheetId="9" hidden="1">#REF!</definedName>
    <definedName name="Z_0E0DE1F8_394A_4093_8E74_B2A631A3A88C_.wvu.PrintTitles" localSheetId="11" hidden="1">#REF!</definedName>
    <definedName name="Z_0E0DE1F8_394A_4093_8E74_B2A631A3A88C_.wvu.PrintTitles" localSheetId="13" hidden="1">#REF!</definedName>
    <definedName name="Z_0E0DE1F8_394A_4093_8E74_B2A631A3A88C_.wvu.PrintTitles" localSheetId="20" hidden="1">#REF!</definedName>
    <definedName name="Z_0E0DE1F8_394A_4093_8E74_B2A631A3A88C_.wvu.PrintTitles" localSheetId="22" hidden="1">#REF!</definedName>
    <definedName name="Z_0E0DE1F8_394A_4093_8E74_B2A631A3A88C_.wvu.PrintTitles" localSheetId="21" hidden="1">#REF!</definedName>
    <definedName name="Z_0E0DE1F8_394A_4093_8E74_B2A631A3A88C_.wvu.PrintTitles" hidden="1">#REF!</definedName>
    <definedName name="Z_18C710ED_70CF_48D0_92F5_038A88335068_.wvu.FilterData" localSheetId="14" hidden="1">#REF!</definedName>
    <definedName name="Z_18C710ED_70CF_48D0_92F5_038A88335068_.wvu.FilterData" localSheetId="17" hidden="1">#REF!</definedName>
    <definedName name="Z_18C710ED_70CF_48D0_92F5_038A88335068_.wvu.FilterData" localSheetId="18" hidden="1">#REF!</definedName>
    <definedName name="Z_18C710ED_70CF_48D0_92F5_038A88335068_.wvu.FilterData" localSheetId="9" hidden="1">#REF!</definedName>
    <definedName name="Z_18C710ED_70CF_48D0_92F5_038A88335068_.wvu.FilterData" localSheetId="11" hidden="1">#REF!</definedName>
    <definedName name="Z_18C710ED_70CF_48D0_92F5_038A88335068_.wvu.FilterData" localSheetId="13" hidden="1">#REF!</definedName>
    <definedName name="Z_18C710ED_70CF_48D0_92F5_038A88335068_.wvu.FilterData" localSheetId="20" hidden="1">#REF!</definedName>
    <definedName name="Z_18C710ED_70CF_48D0_92F5_038A88335068_.wvu.FilterData" localSheetId="22" hidden="1">#REF!</definedName>
    <definedName name="Z_18C710ED_70CF_48D0_92F5_038A88335068_.wvu.FilterData" localSheetId="21" hidden="1">#REF!</definedName>
    <definedName name="Z_18C710ED_70CF_48D0_92F5_038A88335068_.wvu.FilterData" hidden="1">#REF!</definedName>
    <definedName name="Z_18C710ED_70CF_48D0_92F5_038A88335068_.wvu.PrintArea" localSheetId="14" hidden="1">#REF!</definedName>
    <definedName name="Z_18C710ED_70CF_48D0_92F5_038A88335068_.wvu.PrintArea" localSheetId="17" hidden="1">#REF!</definedName>
    <definedName name="Z_18C710ED_70CF_48D0_92F5_038A88335068_.wvu.PrintArea" localSheetId="18" hidden="1">#REF!</definedName>
    <definedName name="Z_18C710ED_70CF_48D0_92F5_038A88335068_.wvu.PrintArea" localSheetId="9" hidden="1">#REF!</definedName>
    <definedName name="Z_18C710ED_70CF_48D0_92F5_038A88335068_.wvu.PrintArea" localSheetId="11" hidden="1">#REF!</definedName>
    <definedName name="Z_18C710ED_70CF_48D0_92F5_038A88335068_.wvu.PrintArea" localSheetId="13" hidden="1">#REF!</definedName>
    <definedName name="Z_18C710ED_70CF_48D0_92F5_038A88335068_.wvu.PrintArea" localSheetId="20" hidden="1">#REF!</definedName>
    <definedName name="Z_18C710ED_70CF_48D0_92F5_038A88335068_.wvu.PrintArea" localSheetId="22" hidden="1">#REF!</definedName>
    <definedName name="Z_18C710ED_70CF_48D0_92F5_038A88335068_.wvu.PrintArea" localSheetId="21" hidden="1">#REF!</definedName>
    <definedName name="Z_18C710ED_70CF_48D0_92F5_038A88335068_.wvu.PrintArea" hidden="1">#REF!</definedName>
    <definedName name="Z_18C710ED_70CF_48D0_92F5_038A88335068_.wvu.PrintTitles" localSheetId="14" hidden="1">#REF!</definedName>
    <definedName name="Z_18C710ED_70CF_48D0_92F5_038A88335068_.wvu.PrintTitles" localSheetId="17" hidden="1">#REF!</definedName>
    <definedName name="Z_18C710ED_70CF_48D0_92F5_038A88335068_.wvu.PrintTitles" localSheetId="18" hidden="1">#REF!</definedName>
    <definedName name="Z_18C710ED_70CF_48D0_92F5_038A88335068_.wvu.PrintTitles" localSheetId="9" hidden="1">#REF!</definedName>
    <definedName name="Z_18C710ED_70CF_48D0_92F5_038A88335068_.wvu.PrintTitles" localSheetId="11" hidden="1">#REF!</definedName>
    <definedName name="Z_18C710ED_70CF_48D0_92F5_038A88335068_.wvu.PrintTitles" localSheetId="13" hidden="1">#REF!</definedName>
    <definedName name="Z_18C710ED_70CF_48D0_92F5_038A88335068_.wvu.PrintTitles" localSheetId="20" hidden="1">#REF!</definedName>
    <definedName name="Z_18C710ED_70CF_48D0_92F5_038A88335068_.wvu.PrintTitles" localSheetId="22" hidden="1">#REF!</definedName>
    <definedName name="Z_18C710ED_70CF_48D0_92F5_038A88335068_.wvu.PrintTitles" localSheetId="21" hidden="1">#REF!</definedName>
    <definedName name="Z_18C710ED_70CF_48D0_92F5_038A88335068_.wvu.PrintTitles" hidden="1">#REF!</definedName>
    <definedName name="Z_378D82E8_FE69_4712_AE73_9D578C4190DE_.wvu.FilterData" localSheetId="14" hidden="1">#REF!</definedName>
    <definedName name="Z_378D82E8_FE69_4712_AE73_9D578C4190DE_.wvu.FilterData" localSheetId="17" hidden="1">#REF!</definedName>
    <definedName name="Z_378D82E8_FE69_4712_AE73_9D578C4190DE_.wvu.FilterData" localSheetId="18" hidden="1">#REF!</definedName>
    <definedName name="Z_378D82E8_FE69_4712_AE73_9D578C4190DE_.wvu.FilterData" localSheetId="9" hidden="1">#REF!</definedName>
    <definedName name="Z_378D82E8_FE69_4712_AE73_9D578C4190DE_.wvu.FilterData" localSheetId="11" hidden="1">#REF!</definedName>
    <definedName name="Z_378D82E8_FE69_4712_AE73_9D578C4190DE_.wvu.FilterData" localSheetId="13" hidden="1">#REF!</definedName>
    <definedName name="Z_378D82E8_FE69_4712_AE73_9D578C4190DE_.wvu.FilterData" localSheetId="20" hidden="1">#REF!</definedName>
    <definedName name="Z_378D82E8_FE69_4712_AE73_9D578C4190DE_.wvu.FilterData" localSheetId="22" hidden="1">#REF!</definedName>
    <definedName name="Z_378D82E8_FE69_4712_AE73_9D578C4190DE_.wvu.FilterData" localSheetId="21" hidden="1">#REF!</definedName>
    <definedName name="Z_378D82E8_FE69_4712_AE73_9D578C4190DE_.wvu.FilterData" hidden="1">#REF!</definedName>
    <definedName name="Z_378D82E8_FE69_4712_AE73_9D578C4190DE_.wvu.PrintArea" localSheetId="14" hidden="1">#REF!</definedName>
    <definedName name="Z_378D82E8_FE69_4712_AE73_9D578C4190DE_.wvu.PrintArea" localSheetId="17" hidden="1">#REF!</definedName>
    <definedName name="Z_378D82E8_FE69_4712_AE73_9D578C4190DE_.wvu.PrintArea" localSheetId="18" hidden="1">#REF!</definedName>
    <definedName name="Z_378D82E8_FE69_4712_AE73_9D578C4190DE_.wvu.PrintArea" localSheetId="9" hidden="1">#REF!</definedName>
    <definedName name="Z_378D82E8_FE69_4712_AE73_9D578C4190DE_.wvu.PrintArea" localSheetId="11" hidden="1">#REF!</definedName>
    <definedName name="Z_378D82E8_FE69_4712_AE73_9D578C4190DE_.wvu.PrintArea" localSheetId="13" hidden="1">#REF!</definedName>
    <definedName name="Z_378D82E8_FE69_4712_AE73_9D578C4190DE_.wvu.PrintArea" localSheetId="20" hidden="1">#REF!</definedName>
    <definedName name="Z_378D82E8_FE69_4712_AE73_9D578C4190DE_.wvu.PrintArea" localSheetId="22" hidden="1">#REF!</definedName>
    <definedName name="Z_378D82E8_FE69_4712_AE73_9D578C4190DE_.wvu.PrintArea" localSheetId="21" hidden="1">#REF!</definedName>
    <definedName name="Z_378D82E8_FE69_4712_AE73_9D578C4190DE_.wvu.PrintArea" hidden="1">#REF!</definedName>
    <definedName name="Z_378D82E8_FE69_4712_AE73_9D578C4190DE_.wvu.PrintTitles" localSheetId="14" hidden="1">#REF!</definedName>
    <definedName name="Z_378D82E8_FE69_4712_AE73_9D578C4190DE_.wvu.PrintTitles" localSheetId="17" hidden="1">#REF!</definedName>
    <definedName name="Z_378D82E8_FE69_4712_AE73_9D578C4190DE_.wvu.PrintTitles" localSheetId="18" hidden="1">#REF!</definedName>
    <definedName name="Z_378D82E8_FE69_4712_AE73_9D578C4190DE_.wvu.PrintTitles" localSheetId="9" hidden="1">#REF!</definedName>
    <definedName name="Z_378D82E8_FE69_4712_AE73_9D578C4190DE_.wvu.PrintTitles" localSheetId="11" hidden="1">#REF!</definedName>
    <definedName name="Z_378D82E8_FE69_4712_AE73_9D578C4190DE_.wvu.PrintTitles" localSheetId="13" hidden="1">#REF!</definedName>
    <definedName name="Z_378D82E8_FE69_4712_AE73_9D578C4190DE_.wvu.PrintTitles" localSheetId="20" hidden="1">#REF!</definedName>
    <definedName name="Z_378D82E8_FE69_4712_AE73_9D578C4190DE_.wvu.PrintTitles" localSheetId="22" hidden="1">#REF!</definedName>
    <definedName name="Z_378D82E8_FE69_4712_AE73_9D578C4190DE_.wvu.PrintTitles" localSheetId="21" hidden="1">#REF!</definedName>
    <definedName name="Z_378D82E8_FE69_4712_AE73_9D578C4190DE_.wvu.PrintTitles" hidden="1">#REF!</definedName>
    <definedName name="Z_381FCF61_DF95_4756_B103_A1118DFFDE02_.wvu.FilterData" localSheetId="14" hidden="1">#REF!</definedName>
    <definedName name="Z_381FCF61_DF95_4756_B103_A1118DFFDE02_.wvu.FilterData" localSheetId="17" hidden="1">#REF!</definedName>
    <definedName name="Z_381FCF61_DF95_4756_B103_A1118DFFDE02_.wvu.FilterData" localSheetId="18" hidden="1">#REF!</definedName>
    <definedName name="Z_381FCF61_DF95_4756_B103_A1118DFFDE02_.wvu.FilterData" localSheetId="9" hidden="1">#REF!</definedName>
    <definedName name="Z_381FCF61_DF95_4756_B103_A1118DFFDE02_.wvu.FilterData" localSheetId="11" hidden="1">#REF!</definedName>
    <definedName name="Z_381FCF61_DF95_4756_B103_A1118DFFDE02_.wvu.FilterData" localSheetId="13" hidden="1">#REF!</definedName>
    <definedName name="Z_381FCF61_DF95_4756_B103_A1118DFFDE02_.wvu.FilterData" localSheetId="20" hidden="1">#REF!</definedName>
    <definedName name="Z_381FCF61_DF95_4756_B103_A1118DFFDE02_.wvu.FilterData" localSheetId="22" hidden="1">#REF!</definedName>
    <definedName name="Z_381FCF61_DF95_4756_B103_A1118DFFDE02_.wvu.FilterData" localSheetId="21" hidden="1">#REF!</definedName>
    <definedName name="Z_381FCF61_DF95_4756_B103_A1118DFFDE02_.wvu.FilterData" hidden="1">#REF!</definedName>
    <definedName name="Z_381FCF61_DF95_4756_B103_A1118DFFDE02_.wvu.PrintArea" localSheetId="14" hidden="1">#REF!</definedName>
    <definedName name="Z_381FCF61_DF95_4756_B103_A1118DFFDE02_.wvu.PrintArea" localSheetId="17" hidden="1">#REF!</definedName>
    <definedName name="Z_381FCF61_DF95_4756_B103_A1118DFFDE02_.wvu.PrintArea" localSheetId="18" hidden="1">#REF!</definedName>
    <definedName name="Z_381FCF61_DF95_4756_B103_A1118DFFDE02_.wvu.PrintArea" localSheetId="9" hidden="1">#REF!</definedName>
    <definedName name="Z_381FCF61_DF95_4756_B103_A1118DFFDE02_.wvu.PrintArea" localSheetId="11" hidden="1">#REF!</definedName>
    <definedName name="Z_381FCF61_DF95_4756_B103_A1118DFFDE02_.wvu.PrintArea" localSheetId="13" hidden="1">#REF!</definedName>
    <definedName name="Z_381FCF61_DF95_4756_B103_A1118DFFDE02_.wvu.PrintArea" localSheetId="20" hidden="1">#REF!</definedName>
    <definedName name="Z_381FCF61_DF95_4756_B103_A1118DFFDE02_.wvu.PrintArea" localSheetId="22" hidden="1">#REF!</definedName>
    <definedName name="Z_381FCF61_DF95_4756_B103_A1118DFFDE02_.wvu.PrintArea" localSheetId="21" hidden="1">#REF!</definedName>
    <definedName name="Z_381FCF61_DF95_4756_B103_A1118DFFDE02_.wvu.PrintArea" hidden="1">#REF!</definedName>
    <definedName name="Z_381FCF61_DF95_4756_B103_A1118DFFDE02_.wvu.PrintTitles" localSheetId="14" hidden="1">#REF!</definedName>
    <definedName name="Z_381FCF61_DF95_4756_B103_A1118DFFDE02_.wvu.PrintTitles" localSheetId="17" hidden="1">#REF!</definedName>
    <definedName name="Z_381FCF61_DF95_4756_B103_A1118DFFDE02_.wvu.PrintTitles" localSheetId="18" hidden="1">#REF!</definedName>
    <definedName name="Z_381FCF61_DF95_4756_B103_A1118DFFDE02_.wvu.PrintTitles" localSheetId="9" hidden="1">#REF!</definedName>
    <definedName name="Z_381FCF61_DF95_4756_B103_A1118DFFDE02_.wvu.PrintTitles" localSheetId="11" hidden="1">#REF!</definedName>
    <definedName name="Z_381FCF61_DF95_4756_B103_A1118DFFDE02_.wvu.PrintTitles" localSheetId="13" hidden="1">#REF!</definedName>
    <definedName name="Z_381FCF61_DF95_4756_B103_A1118DFFDE02_.wvu.PrintTitles" localSheetId="20" hidden="1">#REF!</definedName>
    <definedName name="Z_381FCF61_DF95_4756_B103_A1118DFFDE02_.wvu.PrintTitles" localSheetId="22" hidden="1">#REF!</definedName>
    <definedName name="Z_381FCF61_DF95_4756_B103_A1118DFFDE02_.wvu.PrintTitles" localSheetId="21" hidden="1">#REF!</definedName>
    <definedName name="Z_381FCF61_DF95_4756_B103_A1118DFFDE02_.wvu.PrintTitles" hidden="1">#REF!</definedName>
    <definedName name="Z_3B3C0CA1_2A9C_45FD_9823_50B200F6C0D1_.wvu.FilterData" localSheetId="14" hidden="1">#REF!</definedName>
    <definedName name="Z_3B3C0CA1_2A9C_45FD_9823_50B200F6C0D1_.wvu.FilterData" localSheetId="17" hidden="1">#REF!</definedName>
    <definedName name="Z_3B3C0CA1_2A9C_45FD_9823_50B200F6C0D1_.wvu.FilterData" localSheetId="18" hidden="1">#REF!</definedName>
    <definedName name="Z_3B3C0CA1_2A9C_45FD_9823_50B200F6C0D1_.wvu.FilterData" localSheetId="9" hidden="1">#REF!</definedName>
    <definedName name="Z_3B3C0CA1_2A9C_45FD_9823_50B200F6C0D1_.wvu.FilterData" localSheetId="11" hidden="1">#REF!</definedName>
    <definedName name="Z_3B3C0CA1_2A9C_45FD_9823_50B200F6C0D1_.wvu.FilterData" localSheetId="13" hidden="1">#REF!</definedName>
    <definedName name="Z_3B3C0CA1_2A9C_45FD_9823_50B200F6C0D1_.wvu.FilterData" localSheetId="20" hidden="1">#REF!</definedName>
    <definedName name="Z_3B3C0CA1_2A9C_45FD_9823_50B200F6C0D1_.wvu.FilterData" localSheetId="22" hidden="1">#REF!</definedName>
    <definedName name="Z_3B3C0CA1_2A9C_45FD_9823_50B200F6C0D1_.wvu.FilterData" localSheetId="21" hidden="1">#REF!</definedName>
    <definedName name="Z_3B3C0CA1_2A9C_45FD_9823_50B200F6C0D1_.wvu.FilterData" hidden="1">#REF!</definedName>
    <definedName name="Z_3B3C0CA1_2A9C_45FD_9823_50B200F6C0D1_.wvu.PrintArea" localSheetId="14" hidden="1">#REF!</definedName>
    <definedName name="Z_3B3C0CA1_2A9C_45FD_9823_50B200F6C0D1_.wvu.PrintArea" localSheetId="17" hidden="1">#REF!</definedName>
    <definedName name="Z_3B3C0CA1_2A9C_45FD_9823_50B200F6C0D1_.wvu.PrintArea" localSheetId="18" hidden="1">#REF!</definedName>
    <definedName name="Z_3B3C0CA1_2A9C_45FD_9823_50B200F6C0D1_.wvu.PrintArea" localSheetId="9" hidden="1">#REF!</definedName>
    <definedName name="Z_3B3C0CA1_2A9C_45FD_9823_50B200F6C0D1_.wvu.PrintArea" localSheetId="11" hidden="1">#REF!</definedName>
    <definedName name="Z_3B3C0CA1_2A9C_45FD_9823_50B200F6C0D1_.wvu.PrintArea" localSheetId="13" hidden="1">#REF!</definedName>
    <definedName name="Z_3B3C0CA1_2A9C_45FD_9823_50B200F6C0D1_.wvu.PrintArea" localSheetId="20" hidden="1">#REF!</definedName>
    <definedName name="Z_3B3C0CA1_2A9C_45FD_9823_50B200F6C0D1_.wvu.PrintArea" localSheetId="22" hidden="1">#REF!</definedName>
    <definedName name="Z_3B3C0CA1_2A9C_45FD_9823_50B200F6C0D1_.wvu.PrintArea" localSheetId="21" hidden="1">#REF!</definedName>
    <definedName name="Z_3B3C0CA1_2A9C_45FD_9823_50B200F6C0D1_.wvu.PrintArea" hidden="1">#REF!</definedName>
    <definedName name="Z_3B3C0CA1_2A9C_45FD_9823_50B200F6C0D1_.wvu.PrintTitles" localSheetId="14" hidden="1">#REF!</definedName>
    <definedName name="Z_3B3C0CA1_2A9C_45FD_9823_50B200F6C0D1_.wvu.PrintTitles" localSheetId="17" hidden="1">#REF!</definedName>
    <definedName name="Z_3B3C0CA1_2A9C_45FD_9823_50B200F6C0D1_.wvu.PrintTitles" localSheetId="18" hidden="1">#REF!</definedName>
    <definedName name="Z_3B3C0CA1_2A9C_45FD_9823_50B200F6C0D1_.wvu.PrintTitles" localSheetId="9" hidden="1">#REF!</definedName>
    <definedName name="Z_3B3C0CA1_2A9C_45FD_9823_50B200F6C0D1_.wvu.PrintTitles" localSheetId="11" hidden="1">#REF!</definedName>
    <definedName name="Z_3B3C0CA1_2A9C_45FD_9823_50B200F6C0D1_.wvu.PrintTitles" localSheetId="13" hidden="1">#REF!</definedName>
    <definedName name="Z_3B3C0CA1_2A9C_45FD_9823_50B200F6C0D1_.wvu.PrintTitles" localSheetId="20" hidden="1">#REF!</definedName>
    <definedName name="Z_3B3C0CA1_2A9C_45FD_9823_50B200F6C0D1_.wvu.PrintTitles" localSheetId="22" hidden="1">#REF!</definedName>
    <definedName name="Z_3B3C0CA1_2A9C_45FD_9823_50B200F6C0D1_.wvu.PrintTitles" localSheetId="21" hidden="1">#REF!</definedName>
    <definedName name="Z_3B3C0CA1_2A9C_45FD_9823_50B200F6C0D1_.wvu.PrintTitles" hidden="1">#REF!</definedName>
    <definedName name="Z_3E9430E5_6A83_435B_9E47_1B8F7E18D67C_.wvu.FilterData" localSheetId="14" hidden="1">#REF!</definedName>
    <definedName name="Z_3E9430E5_6A83_435B_9E47_1B8F7E18D67C_.wvu.FilterData" localSheetId="17" hidden="1">#REF!</definedName>
    <definedName name="Z_3E9430E5_6A83_435B_9E47_1B8F7E18D67C_.wvu.FilterData" localSheetId="18" hidden="1">#REF!</definedName>
    <definedName name="Z_3E9430E5_6A83_435B_9E47_1B8F7E18D67C_.wvu.FilterData" localSheetId="9" hidden="1">#REF!</definedName>
    <definedName name="Z_3E9430E5_6A83_435B_9E47_1B8F7E18D67C_.wvu.FilterData" localSheetId="11" hidden="1">#REF!</definedName>
    <definedName name="Z_3E9430E5_6A83_435B_9E47_1B8F7E18D67C_.wvu.FilterData" localSheetId="13" hidden="1">#REF!</definedName>
    <definedName name="Z_3E9430E5_6A83_435B_9E47_1B8F7E18D67C_.wvu.FilterData" localSheetId="20" hidden="1">#REF!</definedName>
    <definedName name="Z_3E9430E5_6A83_435B_9E47_1B8F7E18D67C_.wvu.FilterData" localSheetId="22" hidden="1">#REF!</definedName>
    <definedName name="Z_3E9430E5_6A83_435B_9E47_1B8F7E18D67C_.wvu.FilterData" localSheetId="21" hidden="1">#REF!</definedName>
    <definedName name="Z_3E9430E5_6A83_435B_9E47_1B8F7E18D67C_.wvu.FilterData" hidden="1">#REF!</definedName>
    <definedName name="Z_3E9430E5_6A83_435B_9E47_1B8F7E18D67C_.wvu.PrintArea" localSheetId="14" hidden="1">#REF!</definedName>
    <definedName name="Z_3E9430E5_6A83_435B_9E47_1B8F7E18D67C_.wvu.PrintArea" localSheetId="17" hidden="1">#REF!</definedName>
    <definedName name="Z_3E9430E5_6A83_435B_9E47_1B8F7E18D67C_.wvu.PrintArea" localSheetId="18" hidden="1">#REF!</definedName>
    <definedName name="Z_3E9430E5_6A83_435B_9E47_1B8F7E18D67C_.wvu.PrintArea" localSheetId="9" hidden="1">#REF!</definedName>
    <definedName name="Z_3E9430E5_6A83_435B_9E47_1B8F7E18D67C_.wvu.PrintArea" localSheetId="11" hidden="1">#REF!</definedName>
    <definedName name="Z_3E9430E5_6A83_435B_9E47_1B8F7E18D67C_.wvu.PrintArea" localSheetId="13" hidden="1">#REF!</definedName>
    <definedName name="Z_3E9430E5_6A83_435B_9E47_1B8F7E18D67C_.wvu.PrintArea" localSheetId="20" hidden="1">#REF!</definedName>
    <definedName name="Z_3E9430E5_6A83_435B_9E47_1B8F7E18D67C_.wvu.PrintArea" localSheetId="22" hidden="1">#REF!</definedName>
    <definedName name="Z_3E9430E5_6A83_435B_9E47_1B8F7E18D67C_.wvu.PrintArea" localSheetId="21" hidden="1">#REF!</definedName>
    <definedName name="Z_3E9430E5_6A83_435B_9E47_1B8F7E18D67C_.wvu.PrintArea" hidden="1">#REF!</definedName>
    <definedName name="Z_3E9430E5_6A83_435B_9E47_1B8F7E18D67C_.wvu.PrintTitles" localSheetId="14" hidden="1">#REF!</definedName>
    <definedName name="Z_3E9430E5_6A83_435B_9E47_1B8F7E18D67C_.wvu.PrintTitles" localSheetId="17" hidden="1">#REF!</definedName>
    <definedName name="Z_3E9430E5_6A83_435B_9E47_1B8F7E18D67C_.wvu.PrintTitles" localSheetId="18" hidden="1">#REF!</definedName>
    <definedName name="Z_3E9430E5_6A83_435B_9E47_1B8F7E18D67C_.wvu.PrintTitles" localSheetId="9" hidden="1">#REF!</definedName>
    <definedName name="Z_3E9430E5_6A83_435B_9E47_1B8F7E18D67C_.wvu.PrintTitles" localSheetId="11" hidden="1">#REF!</definedName>
    <definedName name="Z_3E9430E5_6A83_435B_9E47_1B8F7E18D67C_.wvu.PrintTitles" localSheetId="13" hidden="1">#REF!</definedName>
    <definedName name="Z_3E9430E5_6A83_435B_9E47_1B8F7E18D67C_.wvu.PrintTitles" localSheetId="20" hidden="1">#REF!</definedName>
    <definedName name="Z_3E9430E5_6A83_435B_9E47_1B8F7E18D67C_.wvu.PrintTitles" localSheetId="22" hidden="1">#REF!</definedName>
    <definedName name="Z_3E9430E5_6A83_435B_9E47_1B8F7E18D67C_.wvu.PrintTitles" localSheetId="21" hidden="1">#REF!</definedName>
    <definedName name="Z_3E9430E5_6A83_435B_9E47_1B8F7E18D67C_.wvu.PrintTitles" hidden="1">#REF!</definedName>
    <definedName name="Z_4A14CB5C_2287_4F6E_9A65_22F0A4D81D81_.wvu.FilterData" localSheetId="14" hidden="1">#REF!</definedName>
    <definedName name="Z_4A14CB5C_2287_4F6E_9A65_22F0A4D81D81_.wvu.FilterData" localSheetId="17" hidden="1">#REF!</definedName>
    <definedName name="Z_4A14CB5C_2287_4F6E_9A65_22F0A4D81D81_.wvu.FilterData" localSheetId="18" hidden="1">#REF!</definedName>
    <definedName name="Z_4A14CB5C_2287_4F6E_9A65_22F0A4D81D81_.wvu.FilterData" localSheetId="9" hidden="1">#REF!</definedName>
    <definedName name="Z_4A14CB5C_2287_4F6E_9A65_22F0A4D81D81_.wvu.FilterData" localSheetId="11" hidden="1">#REF!</definedName>
    <definedName name="Z_4A14CB5C_2287_4F6E_9A65_22F0A4D81D81_.wvu.FilterData" localSheetId="13" hidden="1">#REF!</definedName>
    <definedName name="Z_4A14CB5C_2287_4F6E_9A65_22F0A4D81D81_.wvu.FilterData" localSheetId="20" hidden="1">#REF!</definedName>
    <definedName name="Z_4A14CB5C_2287_4F6E_9A65_22F0A4D81D81_.wvu.FilterData" localSheetId="22" hidden="1">#REF!</definedName>
    <definedName name="Z_4A14CB5C_2287_4F6E_9A65_22F0A4D81D81_.wvu.FilterData" localSheetId="21" hidden="1">#REF!</definedName>
    <definedName name="Z_4A14CB5C_2287_4F6E_9A65_22F0A4D81D81_.wvu.FilterData" hidden="1">#REF!</definedName>
    <definedName name="Z_4A14CB5C_2287_4F6E_9A65_22F0A4D81D81_.wvu.PrintArea" localSheetId="14" hidden="1">#REF!</definedName>
    <definedName name="Z_4A14CB5C_2287_4F6E_9A65_22F0A4D81D81_.wvu.PrintArea" localSheetId="17" hidden="1">#REF!</definedName>
    <definedName name="Z_4A14CB5C_2287_4F6E_9A65_22F0A4D81D81_.wvu.PrintArea" localSheetId="18" hidden="1">#REF!</definedName>
    <definedName name="Z_4A14CB5C_2287_4F6E_9A65_22F0A4D81D81_.wvu.PrintArea" localSheetId="9" hidden="1">#REF!</definedName>
    <definedName name="Z_4A14CB5C_2287_4F6E_9A65_22F0A4D81D81_.wvu.PrintArea" localSheetId="11" hidden="1">#REF!</definedName>
    <definedName name="Z_4A14CB5C_2287_4F6E_9A65_22F0A4D81D81_.wvu.PrintArea" localSheetId="13" hidden="1">#REF!</definedName>
    <definedName name="Z_4A14CB5C_2287_4F6E_9A65_22F0A4D81D81_.wvu.PrintArea" localSheetId="20" hidden="1">#REF!</definedName>
    <definedName name="Z_4A14CB5C_2287_4F6E_9A65_22F0A4D81D81_.wvu.PrintArea" localSheetId="22" hidden="1">#REF!</definedName>
    <definedName name="Z_4A14CB5C_2287_4F6E_9A65_22F0A4D81D81_.wvu.PrintArea" localSheetId="21" hidden="1">#REF!</definedName>
    <definedName name="Z_4A14CB5C_2287_4F6E_9A65_22F0A4D81D81_.wvu.PrintArea" hidden="1">#REF!</definedName>
    <definedName name="Z_4A14CB5C_2287_4F6E_9A65_22F0A4D81D81_.wvu.PrintTitles" localSheetId="14" hidden="1">#REF!</definedName>
    <definedName name="Z_4A14CB5C_2287_4F6E_9A65_22F0A4D81D81_.wvu.PrintTitles" localSheetId="17" hidden="1">#REF!</definedName>
    <definedName name="Z_4A14CB5C_2287_4F6E_9A65_22F0A4D81D81_.wvu.PrintTitles" localSheetId="18" hidden="1">#REF!</definedName>
    <definedName name="Z_4A14CB5C_2287_4F6E_9A65_22F0A4D81D81_.wvu.PrintTitles" localSheetId="9" hidden="1">#REF!</definedName>
    <definedName name="Z_4A14CB5C_2287_4F6E_9A65_22F0A4D81D81_.wvu.PrintTitles" localSheetId="11" hidden="1">#REF!</definedName>
    <definedName name="Z_4A14CB5C_2287_4F6E_9A65_22F0A4D81D81_.wvu.PrintTitles" localSheetId="13" hidden="1">#REF!</definedName>
    <definedName name="Z_4A14CB5C_2287_4F6E_9A65_22F0A4D81D81_.wvu.PrintTitles" localSheetId="20" hidden="1">#REF!</definedName>
    <definedName name="Z_4A14CB5C_2287_4F6E_9A65_22F0A4D81D81_.wvu.PrintTitles" localSheetId="22" hidden="1">#REF!</definedName>
    <definedName name="Z_4A14CB5C_2287_4F6E_9A65_22F0A4D81D81_.wvu.PrintTitles" localSheetId="21" hidden="1">#REF!</definedName>
    <definedName name="Z_4A14CB5C_2287_4F6E_9A65_22F0A4D81D81_.wvu.PrintTitles" hidden="1">#REF!</definedName>
    <definedName name="Z_4BBC24C4_A093_4EC9_8AFF_49C6F602CC39_.wvu.FilterData" localSheetId="14" hidden="1">#REF!</definedName>
    <definedName name="Z_4BBC24C4_A093_4EC9_8AFF_49C6F602CC39_.wvu.FilterData" localSheetId="17" hidden="1">#REF!</definedName>
    <definedName name="Z_4BBC24C4_A093_4EC9_8AFF_49C6F602CC39_.wvu.FilterData" localSheetId="18" hidden="1">#REF!</definedName>
    <definedName name="Z_4BBC24C4_A093_4EC9_8AFF_49C6F602CC39_.wvu.FilterData" localSheetId="9" hidden="1">#REF!</definedName>
    <definedName name="Z_4BBC24C4_A093_4EC9_8AFF_49C6F602CC39_.wvu.FilterData" localSheetId="11" hidden="1">#REF!</definedName>
    <definedName name="Z_4BBC24C4_A093_4EC9_8AFF_49C6F602CC39_.wvu.FilterData" localSheetId="13" hidden="1">#REF!</definedName>
    <definedName name="Z_4BBC24C4_A093_4EC9_8AFF_49C6F602CC39_.wvu.FilterData" localSheetId="20" hidden="1">#REF!</definedName>
    <definedName name="Z_4BBC24C4_A093_4EC9_8AFF_49C6F602CC39_.wvu.FilterData" localSheetId="22" hidden="1">#REF!</definedName>
    <definedName name="Z_4BBC24C4_A093_4EC9_8AFF_49C6F602CC39_.wvu.FilterData" localSheetId="21" hidden="1">#REF!</definedName>
    <definedName name="Z_4BBC24C4_A093_4EC9_8AFF_49C6F602CC39_.wvu.FilterData" hidden="1">#REF!</definedName>
    <definedName name="Z_4BBC24C4_A093_4EC9_8AFF_49C6F602CC39_.wvu.PrintArea" localSheetId="14" hidden="1">#REF!</definedName>
    <definedName name="Z_4BBC24C4_A093_4EC9_8AFF_49C6F602CC39_.wvu.PrintArea" localSheetId="17" hidden="1">#REF!</definedName>
    <definedName name="Z_4BBC24C4_A093_4EC9_8AFF_49C6F602CC39_.wvu.PrintArea" localSheetId="18" hidden="1">#REF!</definedName>
    <definedName name="Z_4BBC24C4_A093_4EC9_8AFF_49C6F602CC39_.wvu.PrintArea" localSheetId="9" hidden="1">#REF!</definedName>
    <definedName name="Z_4BBC24C4_A093_4EC9_8AFF_49C6F602CC39_.wvu.PrintArea" localSheetId="11" hidden="1">#REF!</definedName>
    <definedName name="Z_4BBC24C4_A093_4EC9_8AFF_49C6F602CC39_.wvu.PrintArea" localSheetId="13" hidden="1">#REF!</definedName>
    <definedName name="Z_4BBC24C4_A093_4EC9_8AFF_49C6F602CC39_.wvu.PrintArea" localSheetId="20" hidden="1">#REF!</definedName>
    <definedName name="Z_4BBC24C4_A093_4EC9_8AFF_49C6F602CC39_.wvu.PrintArea" localSheetId="22" hidden="1">#REF!</definedName>
    <definedName name="Z_4BBC24C4_A093_4EC9_8AFF_49C6F602CC39_.wvu.PrintArea" localSheetId="21" hidden="1">#REF!</definedName>
    <definedName name="Z_4BBC24C4_A093_4EC9_8AFF_49C6F602CC39_.wvu.PrintArea" hidden="1">#REF!</definedName>
    <definedName name="Z_4BBC24C4_A093_4EC9_8AFF_49C6F602CC39_.wvu.PrintTitles" localSheetId="14" hidden="1">#REF!</definedName>
    <definedName name="Z_4BBC24C4_A093_4EC9_8AFF_49C6F602CC39_.wvu.PrintTitles" localSheetId="17" hidden="1">#REF!</definedName>
    <definedName name="Z_4BBC24C4_A093_4EC9_8AFF_49C6F602CC39_.wvu.PrintTitles" localSheetId="18" hidden="1">#REF!</definedName>
    <definedName name="Z_4BBC24C4_A093_4EC9_8AFF_49C6F602CC39_.wvu.PrintTitles" localSheetId="9" hidden="1">#REF!</definedName>
    <definedName name="Z_4BBC24C4_A093_4EC9_8AFF_49C6F602CC39_.wvu.PrintTitles" localSheetId="11" hidden="1">#REF!</definedName>
    <definedName name="Z_4BBC24C4_A093_4EC9_8AFF_49C6F602CC39_.wvu.PrintTitles" localSheetId="13" hidden="1">#REF!</definedName>
    <definedName name="Z_4BBC24C4_A093_4EC9_8AFF_49C6F602CC39_.wvu.PrintTitles" localSheetId="20" hidden="1">#REF!</definedName>
    <definedName name="Z_4BBC24C4_A093_4EC9_8AFF_49C6F602CC39_.wvu.PrintTitles" localSheetId="22" hidden="1">#REF!</definedName>
    <definedName name="Z_4BBC24C4_A093_4EC9_8AFF_49C6F602CC39_.wvu.PrintTitles" localSheetId="21" hidden="1">#REF!</definedName>
    <definedName name="Z_4BBC24C4_A093_4EC9_8AFF_49C6F602CC39_.wvu.PrintTitles" hidden="1">#REF!</definedName>
    <definedName name="Z_504A8F9D_2C46_439E_975A_DF1C1FA56E7B_.wvu.FilterData" localSheetId="14" hidden="1">#REF!</definedName>
    <definedName name="Z_504A8F9D_2C46_439E_975A_DF1C1FA56E7B_.wvu.FilterData" localSheetId="17" hidden="1">#REF!</definedName>
    <definedName name="Z_504A8F9D_2C46_439E_975A_DF1C1FA56E7B_.wvu.FilterData" localSheetId="18" hidden="1">#REF!</definedName>
    <definedName name="Z_504A8F9D_2C46_439E_975A_DF1C1FA56E7B_.wvu.FilterData" localSheetId="9" hidden="1">#REF!</definedName>
    <definedName name="Z_504A8F9D_2C46_439E_975A_DF1C1FA56E7B_.wvu.FilterData" localSheetId="11" hidden="1">#REF!</definedName>
    <definedName name="Z_504A8F9D_2C46_439E_975A_DF1C1FA56E7B_.wvu.FilterData" localSheetId="13" hidden="1">#REF!</definedName>
    <definedName name="Z_504A8F9D_2C46_439E_975A_DF1C1FA56E7B_.wvu.FilterData" localSheetId="20" hidden="1">#REF!</definedName>
    <definedName name="Z_504A8F9D_2C46_439E_975A_DF1C1FA56E7B_.wvu.FilterData" localSheetId="22" hidden="1">#REF!</definedName>
    <definedName name="Z_504A8F9D_2C46_439E_975A_DF1C1FA56E7B_.wvu.FilterData" localSheetId="21" hidden="1">#REF!</definedName>
    <definedName name="Z_504A8F9D_2C46_439E_975A_DF1C1FA56E7B_.wvu.FilterData" hidden="1">#REF!</definedName>
    <definedName name="Z_504A8F9D_2C46_439E_975A_DF1C1FA56E7B_.wvu.PrintArea" localSheetId="14" hidden="1">#REF!</definedName>
    <definedName name="Z_504A8F9D_2C46_439E_975A_DF1C1FA56E7B_.wvu.PrintArea" localSheetId="17" hidden="1">#REF!</definedName>
    <definedName name="Z_504A8F9D_2C46_439E_975A_DF1C1FA56E7B_.wvu.PrintArea" localSheetId="18" hidden="1">#REF!</definedName>
    <definedName name="Z_504A8F9D_2C46_439E_975A_DF1C1FA56E7B_.wvu.PrintArea" localSheetId="9" hidden="1">#REF!</definedName>
    <definedName name="Z_504A8F9D_2C46_439E_975A_DF1C1FA56E7B_.wvu.PrintArea" localSheetId="11" hidden="1">#REF!</definedName>
    <definedName name="Z_504A8F9D_2C46_439E_975A_DF1C1FA56E7B_.wvu.PrintArea" localSheetId="13" hidden="1">#REF!</definedName>
    <definedName name="Z_504A8F9D_2C46_439E_975A_DF1C1FA56E7B_.wvu.PrintArea" localSheetId="20" hidden="1">#REF!</definedName>
    <definedName name="Z_504A8F9D_2C46_439E_975A_DF1C1FA56E7B_.wvu.PrintArea" localSheetId="22" hidden="1">#REF!</definedName>
    <definedName name="Z_504A8F9D_2C46_439E_975A_DF1C1FA56E7B_.wvu.PrintArea" localSheetId="21" hidden="1">#REF!</definedName>
    <definedName name="Z_504A8F9D_2C46_439E_975A_DF1C1FA56E7B_.wvu.PrintArea" hidden="1">#REF!</definedName>
    <definedName name="Z_504A8F9D_2C46_439E_975A_DF1C1FA56E7B_.wvu.PrintTitles" localSheetId="14" hidden="1">#REF!</definedName>
    <definedName name="Z_504A8F9D_2C46_439E_975A_DF1C1FA56E7B_.wvu.PrintTitles" localSheetId="17" hidden="1">#REF!</definedName>
    <definedName name="Z_504A8F9D_2C46_439E_975A_DF1C1FA56E7B_.wvu.PrintTitles" localSheetId="18" hidden="1">#REF!</definedName>
    <definedName name="Z_504A8F9D_2C46_439E_975A_DF1C1FA56E7B_.wvu.PrintTitles" localSheetId="9" hidden="1">#REF!</definedName>
    <definedName name="Z_504A8F9D_2C46_439E_975A_DF1C1FA56E7B_.wvu.PrintTitles" localSheetId="11" hidden="1">#REF!</definedName>
    <definedName name="Z_504A8F9D_2C46_439E_975A_DF1C1FA56E7B_.wvu.PrintTitles" localSheetId="13" hidden="1">#REF!</definedName>
    <definedName name="Z_504A8F9D_2C46_439E_975A_DF1C1FA56E7B_.wvu.PrintTitles" localSheetId="20" hidden="1">#REF!</definedName>
    <definedName name="Z_504A8F9D_2C46_439E_975A_DF1C1FA56E7B_.wvu.PrintTitles" localSheetId="22" hidden="1">#REF!</definedName>
    <definedName name="Z_504A8F9D_2C46_439E_975A_DF1C1FA56E7B_.wvu.PrintTitles" localSheetId="21" hidden="1">#REF!</definedName>
    <definedName name="Z_504A8F9D_2C46_439E_975A_DF1C1FA56E7B_.wvu.PrintTitles" hidden="1">#REF!</definedName>
    <definedName name="Z_653348E7_CDAD_4F62_A236_641A4BB6425A_.wvu.FilterData" localSheetId="14" hidden="1">#REF!</definedName>
    <definedName name="Z_653348E7_CDAD_4F62_A236_641A4BB6425A_.wvu.FilterData" localSheetId="17" hidden="1">#REF!</definedName>
    <definedName name="Z_653348E7_CDAD_4F62_A236_641A4BB6425A_.wvu.FilterData" localSheetId="18" hidden="1">#REF!</definedName>
    <definedName name="Z_653348E7_CDAD_4F62_A236_641A4BB6425A_.wvu.FilterData" localSheetId="9" hidden="1">#REF!</definedName>
    <definedName name="Z_653348E7_CDAD_4F62_A236_641A4BB6425A_.wvu.FilterData" localSheetId="11" hidden="1">#REF!</definedName>
    <definedName name="Z_653348E7_CDAD_4F62_A236_641A4BB6425A_.wvu.FilterData" localSheetId="13" hidden="1">#REF!</definedName>
    <definedName name="Z_653348E7_CDAD_4F62_A236_641A4BB6425A_.wvu.FilterData" localSheetId="20" hidden="1">#REF!</definedName>
    <definedName name="Z_653348E7_CDAD_4F62_A236_641A4BB6425A_.wvu.FilterData" localSheetId="22" hidden="1">#REF!</definedName>
    <definedName name="Z_653348E7_CDAD_4F62_A236_641A4BB6425A_.wvu.FilterData" localSheetId="21" hidden="1">#REF!</definedName>
    <definedName name="Z_653348E7_CDAD_4F62_A236_641A4BB6425A_.wvu.FilterData" hidden="1">#REF!</definedName>
    <definedName name="Z_653348E7_CDAD_4F62_A236_641A4BB6425A_.wvu.PrintArea" localSheetId="14" hidden="1">#REF!</definedName>
    <definedName name="Z_653348E7_CDAD_4F62_A236_641A4BB6425A_.wvu.PrintArea" localSheetId="17" hidden="1">#REF!</definedName>
    <definedName name="Z_653348E7_CDAD_4F62_A236_641A4BB6425A_.wvu.PrintArea" localSheetId="18" hidden="1">#REF!</definedName>
    <definedName name="Z_653348E7_CDAD_4F62_A236_641A4BB6425A_.wvu.PrintArea" localSheetId="9" hidden="1">#REF!</definedName>
    <definedName name="Z_653348E7_CDAD_4F62_A236_641A4BB6425A_.wvu.PrintArea" localSheetId="11" hidden="1">#REF!</definedName>
    <definedName name="Z_653348E7_CDAD_4F62_A236_641A4BB6425A_.wvu.PrintArea" localSheetId="13" hidden="1">#REF!</definedName>
    <definedName name="Z_653348E7_CDAD_4F62_A236_641A4BB6425A_.wvu.PrintArea" localSheetId="20" hidden="1">#REF!</definedName>
    <definedName name="Z_653348E7_CDAD_4F62_A236_641A4BB6425A_.wvu.PrintArea" localSheetId="22" hidden="1">#REF!</definedName>
    <definedName name="Z_653348E7_CDAD_4F62_A236_641A4BB6425A_.wvu.PrintArea" localSheetId="21" hidden="1">#REF!</definedName>
    <definedName name="Z_653348E7_CDAD_4F62_A236_641A4BB6425A_.wvu.PrintArea" hidden="1">#REF!</definedName>
    <definedName name="Z_653348E7_CDAD_4F62_A236_641A4BB6425A_.wvu.PrintTitles" localSheetId="14" hidden="1">#REF!</definedName>
    <definedName name="Z_653348E7_CDAD_4F62_A236_641A4BB6425A_.wvu.PrintTitles" localSheetId="17" hidden="1">#REF!</definedName>
    <definedName name="Z_653348E7_CDAD_4F62_A236_641A4BB6425A_.wvu.PrintTitles" localSheetId="18" hidden="1">#REF!</definedName>
    <definedName name="Z_653348E7_CDAD_4F62_A236_641A4BB6425A_.wvu.PrintTitles" localSheetId="9" hidden="1">#REF!</definedName>
    <definedName name="Z_653348E7_CDAD_4F62_A236_641A4BB6425A_.wvu.PrintTitles" localSheetId="11" hidden="1">#REF!</definedName>
    <definedName name="Z_653348E7_CDAD_4F62_A236_641A4BB6425A_.wvu.PrintTitles" localSheetId="13" hidden="1">#REF!</definedName>
    <definedName name="Z_653348E7_CDAD_4F62_A236_641A4BB6425A_.wvu.PrintTitles" localSheetId="20" hidden="1">#REF!</definedName>
    <definedName name="Z_653348E7_CDAD_4F62_A236_641A4BB6425A_.wvu.PrintTitles" localSheetId="22" hidden="1">#REF!</definedName>
    <definedName name="Z_653348E7_CDAD_4F62_A236_641A4BB6425A_.wvu.PrintTitles" localSheetId="21" hidden="1">#REF!</definedName>
    <definedName name="Z_653348E7_CDAD_4F62_A236_641A4BB6425A_.wvu.PrintTitles" hidden="1">#REF!</definedName>
    <definedName name="Z_68C48519_C8C2_4287_96F6_0F561F815CE8_.wvu.FilterData" localSheetId="14" hidden="1">#REF!</definedName>
    <definedName name="Z_68C48519_C8C2_4287_96F6_0F561F815CE8_.wvu.FilterData" localSheetId="17" hidden="1">#REF!</definedName>
    <definedName name="Z_68C48519_C8C2_4287_96F6_0F561F815CE8_.wvu.FilterData" localSheetId="18" hidden="1">#REF!</definedName>
    <definedName name="Z_68C48519_C8C2_4287_96F6_0F561F815CE8_.wvu.FilterData" localSheetId="9" hidden="1">#REF!</definedName>
    <definedName name="Z_68C48519_C8C2_4287_96F6_0F561F815CE8_.wvu.FilterData" localSheetId="11" hidden="1">#REF!</definedName>
    <definedName name="Z_68C48519_C8C2_4287_96F6_0F561F815CE8_.wvu.FilterData" localSheetId="13" hidden="1">#REF!</definedName>
    <definedName name="Z_68C48519_C8C2_4287_96F6_0F561F815CE8_.wvu.FilterData" localSheetId="20" hidden="1">#REF!</definedName>
    <definedName name="Z_68C48519_C8C2_4287_96F6_0F561F815CE8_.wvu.FilterData" localSheetId="22" hidden="1">#REF!</definedName>
    <definedName name="Z_68C48519_C8C2_4287_96F6_0F561F815CE8_.wvu.FilterData" localSheetId="21" hidden="1">#REF!</definedName>
    <definedName name="Z_68C48519_C8C2_4287_96F6_0F561F815CE8_.wvu.FilterData" hidden="1">#REF!</definedName>
    <definedName name="Z_68C48519_C8C2_4287_96F6_0F561F815CE8_.wvu.PrintArea" localSheetId="14" hidden="1">#REF!</definedName>
    <definedName name="Z_68C48519_C8C2_4287_96F6_0F561F815CE8_.wvu.PrintArea" localSheetId="17" hidden="1">#REF!</definedName>
    <definedName name="Z_68C48519_C8C2_4287_96F6_0F561F815CE8_.wvu.PrintArea" localSheetId="18" hidden="1">#REF!</definedName>
    <definedName name="Z_68C48519_C8C2_4287_96F6_0F561F815CE8_.wvu.PrintArea" localSheetId="9" hidden="1">#REF!</definedName>
    <definedName name="Z_68C48519_C8C2_4287_96F6_0F561F815CE8_.wvu.PrintArea" localSheetId="11" hidden="1">#REF!</definedName>
    <definedName name="Z_68C48519_C8C2_4287_96F6_0F561F815CE8_.wvu.PrintArea" localSheetId="13" hidden="1">#REF!</definedName>
    <definedName name="Z_68C48519_C8C2_4287_96F6_0F561F815CE8_.wvu.PrintArea" localSheetId="20" hidden="1">#REF!</definedName>
    <definedName name="Z_68C48519_C8C2_4287_96F6_0F561F815CE8_.wvu.PrintArea" localSheetId="22" hidden="1">#REF!</definedName>
    <definedName name="Z_68C48519_C8C2_4287_96F6_0F561F815CE8_.wvu.PrintArea" localSheetId="21" hidden="1">#REF!</definedName>
    <definedName name="Z_68C48519_C8C2_4287_96F6_0F561F815CE8_.wvu.PrintArea" hidden="1">#REF!</definedName>
    <definedName name="Z_68C48519_C8C2_4287_96F6_0F561F815CE8_.wvu.PrintTitles" localSheetId="14" hidden="1">#REF!</definedName>
    <definedName name="Z_68C48519_C8C2_4287_96F6_0F561F815CE8_.wvu.PrintTitles" localSheetId="17" hidden="1">#REF!</definedName>
    <definedName name="Z_68C48519_C8C2_4287_96F6_0F561F815CE8_.wvu.PrintTitles" localSheetId="18" hidden="1">#REF!</definedName>
    <definedName name="Z_68C48519_C8C2_4287_96F6_0F561F815CE8_.wvu.PrintTitles" localSheetId="9" hidden="1">#REF!</definedName>
    <definedName name="Z_68C48519_C8C2_4287_96F6_0F561F815CE8_.wvu.PrintTitles" localSheetId="11" hidden="1">#REF!</definedName>
    <definedName name="Z_68C48519_C8C2_4287_96F6_0F561F815CE8_.wvu.PrintTitles" localSheetId="13" hidden="1">#REF!</definedName>
    <definedName name="Z_68C48519_C8C2_4287_96F6_0F561F815CE8_.wvu.PrintTitles" localSheetId="20" hidden="1">#REF!</definedName>
    <definedName name="Z_68C48519_C8C2_4287_96F6_0F561F815CE8_.wvu.PrintTitles" localSheetId="22" hidden="1">#REF!</definedName>
    <definedName name="Z_68C48519_C8C2_4287_96F6_0F561F815CE8_.wvu.PrintTitles" localSheetId="21" hidden="1">#REF!</definedName>
    <definedName name="Z_68C48519_C8C2_4287_96F6_0F561F815CE8_.wvu.PrintTitles" hidden="1">#REF!</definedName>
    <definedName name="Z_6BA141F2_E104_11DA_B6F6_00609720E0A1_.wvu.FilterData" localSheetId="14" hidden="1">#REF!</definedName>
    <definedName name="Z_6BA141F2_E104_11DA_B6F6_00609720E0A1_.wvu.FilterData" localSheetId="17" hidden="1">#REF!</definedName>
    <definedName name="Z_6BA141F2_E104_11DA_B6F6_00609720E0A1_.wvu.FilterData" localSheetId="18" hidden="1">#REF!</definedName>
    <definedName name="Z_6BA141F2_E104_11DA_B6F6_00609720E0A1_.wvu.FilterData" localSheetId="9" hidden="1">#REF!</definedName>
    <definedName name="Z_6BA141F2_E104_11DA_B6F6_00609720E0A1_.wvu.FilterData" localSheetId="11" hidden="1">#REF!</definedName>
    <definedName name="Z_6BA141F2_E104_11DA_B6F6_00609720E0A1_.wvu.FilterData" localSheetId="13" hidden="1">#REF!</definedName>
    <definedName name="Z_6BA141F2_E104_11DA_B6F6_00609720E0A1_.wvu.FilterData" localSheetId="20" hidden="1">#REF!</definedName>
    <definedName name="Z_6BA141F2_E104_11DA_B6F6_00609720E0A1_.wvu.FilterData" localSheetId="22" hidden="1">#REF!</definedName>
    <definedName name="Z_6BA141F2_E104_11DA_B6F6_00609720E0A1_.wvu.FilterData" localSheetId="21" hidden="1">#REF!</definedName>
    <definedName name="Z_6BA141F2_E104_11DA_B6F6_00609720E0A1_.wvu.FilterData" hidden="1">#REF!</definedName>
    <definedName name="Z_6BA141F2_E104_11DA_B6F6_00609720E0A1_.wvu.PrintArea" localSheetId="14" hidden="1">#REF!</definedName>
    <definedName name="Z_6BA141F2_E104_11DA_B6F6_00609720E0A1_.wvu.PrintArea" localSheetId="17" hidden="1">#REF!</definedName>
    <definedName name="Z_6BA141F2_E104_11DA_B6F6_00609720E0A1_.wvu.PrintArea" localSheetId="18" hidden="1">#REF!</definedName>
    <definedName name="Z_6BA141F2_E104_11DA_B6F6_00609720E0A1_.wvu.PrintArea" localSheetId="9" hidden="1">#REF!</definedName>
    <definedName name="Z_6BA141F2_E104_11DA_B6F6_00609720E0A1_.wvu.PrintArea" localSheetId="11" hidden="1">#REF!</definedName>
    <definedName name="Z_6BA141F2_E104_11DA_B6F6_00609720E0A1_.wvu.PrintArea" localSheetId="13" hidden="1">#REF!</definedName>
    <definedName name="Z_6BA141F2_E104_11DA_B6F6_00609720E0A1_.wvu.PrintArea" localSheetId="20" hidden="1">#REF!</definedName>
    <definedName name="Z_6BA141F2_E104_11DA_B6F6_00609720E0A1_.wvu.PrintArea" localSheetId="22" hidden="1">#REF!</definedName>
    <definedName name="Z_6BA141F2_E104_11DA_B6F6_00609720E0A1_.wvu.PrintArea" localSheetId="21" hidden="1">#REF!</definedName>
    <definedName name="Z_6BA141F2_E104_11DA_B6F6_00609720E0A1_.wvu.PrintArea" hidden="1">#REF!</definedName>
    <definedName name="Z_6BA141F2_E104_11DA_B6F6_00609720E0A1_.wvu.PrintTitles" localSheetId="14" hidden="1">#REF!</definedName>
    <definedName name="Z_6BA141F2_E104_11DA_B6F6_00609720E0A1_.wvu.PrintTitles" localSheetId="17" hidden="1">#REF!</definedName>
    <definedName name="Z_6BA141F2_E104_11DA_B6F6_00609720E0A1_.wvu.PrintTitles" localSheetId="18" hidden="1">#REF!</definedName>
    <definedName name="Z_6BA141F2_E104_11DA_B6F6_00609720E0A1_.wvu.PrintTitles" localSheetId="9" hidden="1">#REF!</definedName>
    <definedName name="Z_6BA141F2_E104_11DA_B6F6_00609720E0A1_.wvu.PrintTitles" localSheetId="11" hidden="1">#REF!</definedName>
    <definedName name="Z_6BA141F2_E104_11DA_B6F6_00609720E0A1_.wvu.PrintTitles" localSheetId="13" hidden="1">#REF!</definedName>
    <definedName name="Z_6BA141F2_E104_11DA_B6F6_00609720E0A1_.wvu.PrintTitles" localSheetId="20" hidden="1">#REF!</definedName>
    <definedName name="Z_6BA141F2_E104_11DA_B6F6_00609720E0A1_.wvu.PrintTitles" localSheetId="22" hidden="1">#REF!</definedName>
    <definedName name="Z_6BA141F2_E104_11DA_B6F6_00609720E0A1_.wvu.PrintTitles" localSheetId="21" hidden="1">#REF!</definedName>
    <definedName name="Z_6BA141F2_E104_11DA_B6F6_00609720E0A1_.wvu.PrintTitles" hidden="1">#REF!</definedName>
    <definedName name="Z_6BA141F3_E104_11DA_B6F6_00609720E0A1_.wvu.FilterData" localSheetId="14" hidden="1">#REF!</definedName>
    <definedName name="Z_6BA141F3_E104_11DA_B6F6_00609720E0A1_.wvu.FilterData" localSheetId="17" hidden="1">#REF!</definedName>
    <definedName name="Z_6BA141F3_E104_11DA_B6F6_00609720E0A1_.wvu.FilterData" localSheetId="18" hidden="1">#REF!</definedName>
    <definedName name="Z_6BA141F3_E104_11DA_B6F6_00609720E0A1_.wvu.FilterData" localSheetId="9" hidden="1">#REF!</definedName>
    <definedName name="Z_6BA141F3_E104_11DA_B6F6_00609720E0A1_.wvu.FilterData" localSheetId="11" hidden="1">#REF!</definedName>
    <definedName name="Z_6BA141F3_E104_11DA_B6F6_00609720E0A1_.wvu.FilterData" localSheetId="13" hidden="1">#REF!</definedName>
    <definedName name="Z_6BA141F3_E104_11DA_B6F6_00609720E0A1_.wvu.FilterData" localSheetId="20" hidden="1">#REF!</definedName>
    <definedName name="Z_6BA141F3_E104_11DA_B6F6_00609720E0A1_.wvu.FilterData" localSheetId="22" hidden="1">#REF!</definedName>
    <definedName name="Z_6BA141F3_E104_11DA_B6F6_00609720E0A1_.wvu.FilterData" localSheetId="21" hidden="1">#REF!</definedName>
    <definedName name="Z_6BA141F3_E104_11DA_B6F6_00609720E0A1_.wvu.FilterData" hidden="1">#REF!</definedName>
    <definedName name="Z_6BA141F3_E104_11DA_B6F6_00609720E0A1_.wvu.PrintArea" localSheetId="14" hidden="1">#REF!</definedName>
    <definedName name="Z_6BA141F3_E104_11DA_B6F6_00609720E0A1_.wvu.PrintArea" localSheetId="17" hidden="1">#REF!</definedName>
    <definedName name="Z_6BA141F3_E104_11DA_B6F6_00609720E0A1_.wvu.PrintArea" localSheetId="18" hidden="1">#REF!</definedName>
    <definedName name="Z_6BA141F3_E104_11DA_B6F6_00609720E0A1_.wvu.PrintArea" localSheetId="9" hidden="1">#REF!</definedName>
    <definedName name="Z_6BA141F3_E104_11DA_B6F6_00609720E0A1_.wvu.PrintArea" localSheetId="11" hidden="1">#REF!</definedName>
    <definedName name="Z_6BA141F3_E104_11DA_B6F6_00609720E0A1_.wvu.PrintArea" localSheetId="13" hidden="1">#REF!</definedName>
    <definedName name="Z_6BA141F3_E104_11DA_B6F6_00609720E0A1_.wvu.PrintArea" localSheetId="20" hidden="1">#REF!</definedName>
    <definedName name="Z_6BA141F3_E104_11DA_B6F6_00609720E0A1_.wvu.PrintArea" localSheetId="22" hidden="1">#REF!</definedName>
    <definedName name="Z_6BA141F3_E104_11DA_B6F6_00609720E0A1_.wvu.PrintArea" localSheetId="21" hidden="1">#REF!</definedName>
    <definedName name="Z_6BA141F3_E104_11DA_B6F6_00609720E0A1_.wvu.PrintArea" hidden="1">#REF!</definedName>
    <definedName name="Z_6BA141F3_E104_11DA_B6F6_00609720E0A1_.wvu.PrintTitles" localSheetId="14" hidden="1">#REF!</definedName>
    <definedName name="Z_6BA141F3_E104_11DA_B6F6_00609720E0A1_.wvu.PrintTitles" localSheetId="17" hidden="1">#REF!</definedName>
    <definedName name="Z_6BA141F3_E104_11DA_B6F6_00609720E0A1_.wvu.PrintTitles" localSheetId="18" hidden="1">#REF!</definedName>
    <definedName name="Z_6BA141F3_E104_11DA_B6F6_00609720E0A1_.wvu.PrintTitles" localSheetId="9" hidden="1">#REF!</definedName>
    <definedName name="Z_6BA141F3_E104_11DA_B6F6_00609720E0A1_.wvu.PrintTitles" localSheetId="11" hidden="1">#REF!</definedName>
    <definedName name="Z_6BA141F3_E104_11DA_B6F6_00609720E0A1_.wvu.PrintTitles" localSheetId="13" hidden="1">#REF!</definedName>
    <definedName name="Z_6BA141F3_E104_11DA_B6F6_00609720E0A1_.wvu.PrintTitles" localSheetId="20" hidden="1">#REF!</definedName>
    <definedName name="Z_6BA141F3_E104_11DA_B6F6_00609720E0A1_.wvu.PrintTitles" localSheetId="22" hidden="1">#REF!</definedName>
    <definedName name="Z_6BA141F3_E104_11DA_B6F6_00609720E0A1_.wvu.PrintTitles" localSheetId="21" hidden="1">#REF!</definedName>
    <definedName name="Z_6BA141F3_E104_11DA_B6F6_00609720E0A1_.wvu.PrintTitles" hidden="1">#REF!</definedName>
    <definedName name="Z_6BA141F4_E104_11DA_B6F6_00609720E0A1_.wvu.FilterData" localSheetId="14" hidden="1">#REF!</definedName>
    <definedName name="Z_6BA141F4_E104_11DA_B6F6_00609720E0A1_.wvu.FilterData" localSheetId="17" hidden="1">#REF!</definedName>
    <definedName name="Z_6BA141F4_E104_11DA_B6F6_00609720E0A1_.wvu.FilterData" localSheetId="18" hidden="1">#REF!</definedName>
    <definedName name="Z_6BA141F4_E104_11DA_B6F6_00609720E0A1_.wvu.FilterData" localSheetId="9" hidden="1">#REF!</definedName>
    <definedName name="Z_6BA141F4_E104_11DA_B6F6_00609720E0A1_.wvu.FilterData" localSheetId="11" hidden="1">#REF!</definedName>
    <definedName name="Z_6BA141F4_E104_11DA_B6F6_00609720E0A1_.wvu.FilterData" localSheetId="13" hidden="1">#REF!</definedName>
    <definedName name="Z_6BA141F4_E104_11DA_B6F6_00609720E0A1_.wvu.FilterData" localSheetId="20" hidden="1">#REF!</definedName>
    <definedName name="Z_6BA141F4_E104_11DA_B6F6_00609720E0A1_.wvu.FilterData" localSheetId="22" hidden="1">#REF!</definedName>
    <definedName name="Z_6BA141F4_E104_11DA_B6F6_00609720E0A1_.wvu.FilterData" localSheetId="21" hidden="1">#REF!</definedName>
    <definedName name="Z_6BA141F4_E104_11DA_B6F6_00609720E0A1_.wvu.FilterData" hidden="1">#REF!</definedName>
    <definedName name="Z_6BA141F4_E104_11DA_B6F6_00609720E0A1_.wvu.PrintArea" localSheetId="14" hidden="1">#REF!</definedName>
    <definedName name="Z_6BA141F4_E104_11DA_B6F6_00609720E0A1_.wvu.PrintArea" localSheetId="17" hidden="1">#REF!</definedName>
    <definedName name="Z_6BA141F4_E104_11DA_B6F6_00609720E0A1_.wvu.PrintArea" localSheetId="18" hidden="1">#REF!</definedName>
    <definedName name="Z_6BA141F4_E104_11DA_B6F6_00609720E0A1_.wvu.PrintArea" localSheetId="9" hidden="1">#REF!</definedName>
    <definedName name="Z_6BA141F4_E104_11DA_B6F6_00609720E0A1_.wvu.PrintArea" localSheetId="11" hidden="1">#REF!</definedName>
    <definedName name="Z_6BA141F4_E104_11DA_B6F6_00609720E0A1_.wvu.PrintArea" localSheetId="13" hidden="1">#REF!</definedName>
    <definedName name="Z_6BA141F4_E104_11DA_B6F6_00609720E0A1_.wvu.PrintArea" localSheetId="20" hidden="1">#REF!</definedName>
    <definedName name="Z_6BA141F4_E104_11DA_B6F6_00609720E0A1_.wvu.PrintArea" localSheetId="22" hidden="1">#REF!</definedName>
    <definedName name="Z_6BA141F4_E104_11DA_B6F6_00609720E0A1_.wvu.PrintArea" localSheetId="21" hidden="1">#REF!</definedName>
    <definedName name="Z_6BA141F4_E104_11DA_B6F6_00609720E0A1_.wvu.PrintArea" hidden="1">#REF!</definedName>
    <definedName name="Z_6BA141F4_E104_11DA_B6F6_00609720E0A1_.wvu.PrintTitles" localSheetId="14" hidden="1">#REF!</definedName>
    <definedName name="Z_6BA141F4_E104_11DA_B6F6_00609720E0A1_.wvu.PrintTitles" localSheetId="17" hidden="1">#REF!</definedName>
    <definedName name="Z_6BA141F4_E104_11DA_B6F6_00609720E0A1_.wvu.PrintTitles" localSheetId="18" hidden="1">#REF!</definedName>
    <definedName name="Z_6BA141F4_E104_11DA_B6F6_00609720E0A1_.wvu.PrintTitles" localSheetId="9" hidden="1">#REF!</definedName>
    <definedName name="Z_6BA141F4_E104_11DA_B6F6_00609720E0A1_.wvu.PrintTitles" localSheetId="11" hidden="1">#REF!</definedName>
    <definedName name="Z_6BA141F4_E104_11DA_B6F6_00609720E0A1_.wvu.PrintTitles" localSheetId="13" hidden="1">#REF!</definedName>
    <definedName name="Z_6BA141F4_E104_11DA_B6F6_00609720E0A1_.wvu.PrintTitles" localSheetId="20" hidden="1">#REF!</definedName>
    <definedName name="Z_6BA141F4_E104_11DA_B6F6_00609720E0A1_.wvu.PrintTitles" localSheetId="22" hidden="1">#REF!</definedName>
    <definedName name="Z_6BA141F4_E104_11DA_B6F6_00609720E0A1_.wvu.PrintTitles" localSheetId="21" hidden="1">#REF!</definedName>
    <definedName name="Z_6BA141F4_E104_11DA_B6F6_00609720E0A1_.wvu.PrintTitles" hidden="1">#REF!</definedName>
    <definedName name="Z_6BA141F5_E104_11DA_B6F6_00609720E0A1_.wvu.FilterData" localSheetId="14" hidden="1">#REF!</definedName>
    <definedName name="Z_6BA141F5_E104_11DA_B6F6_00609720E0A1_.wvu.FilterData" localSheetId="17" hidden="1">#REF!</definedName>
    <definedName name="Z_6BA141F5_E104_11DA_B6F6_00609720E0A1_.wvu.FilterData" localSheetId="18" hidden="1">#REF!</definedName>
    <definedName name="Z_6BA141F5_E104_11DA_B6F6_00609720E0A1_.wvu.FilterData" localSheetId="9" hidden="1">#REF!</definedName>
    <definedName name="Z_6BA141F5_E104_11DA_B6F6_00609720E0A1_.wvu.FilterData" localSheetId="11" hidden="1">#REF!</definedName>
    <definedName name="Z_6BA141F5_E104_11DA_B6F6_00609720E0A1_.wvu.FilterData" localSheetId="13" hidden="1">#REF!</definedName>
    <definedName name="Z_6BA141F5_E104_11DA_B6F6_00609720E0A1_.wvu.FilterData" localSheetId="20" hidden="1">#REF!</definedName>
    <definedName name="Z_6BA141F5_E104_11DA_B6F6_00609720E0A1_.wvu.FilterData" localSheetId="22" hidden="1">#REF!</definedName>
    <definedName name="Z_6BA141F5_E104_11DA_B6F6_00609720E0A1_.wvu.FilterData" localSheetId="21" hidden="1">#REF!</definedName>
    <definedName name="Z_6BA141F5_E104_11DA_B6F6_00609720E0A1_.wvu.FilterData" hidden="1">#REF!</definedName>
    <definedName name="Z_6BA141F5_E104_11DA_B6F6_00609720E0A1_.wvu.PrintArea" localSheetId="14" hidden="1">#REF!</definedName>
    <definedName name="Z_6BA141F5_E104_11DA_B6F6_00609720E0A1_.wvu.PrintArea" localSheetId="17" hidden="1">#REF!</definedName>
    <definedName name="Z_6BA141F5_E104_11DA_B6F6_00609720E0A1_.wvu.PrintArea" localSheetId="18" hidden="1">#REF!</definedName>
    <definedName name="Z_6BA141F5_E104_11DA_B6F6_00609720E0A1_.wvu.PrintArea" localSheetId="9" hidden="1">#REF!</definedName>
    <definedName name="Z_6BA141F5_E104_11DA_B6F6_00609720E0A1_.wvu.PrintArea" localSheetId="11" hidden="1">#REF!</definedName>
    <definedName name="Z_6BA141F5_E104_11DA_B6F6_00609720E0A1_.wvu.PrintArea" localSheetId="13" hidden="1">#REF!</definedName>
    <definedName name="Z_6BA141F5_E104_11DA_B6F6_00609720E0A1_.wvu.PrintArea" localSheetId="20" hidden="1">#REF!</definedName>
    <definedName name="Z_6BA141F5_E104_11DA_B6F6_00609720E0A1_.wvu.PrintArea" localSheetId="22" hidden="1">#REF!</definedName>
    <definedName name="Z_6BA141F5_E104_11DA_B6F6_00609720E0A1_.wvu.PrintArea" localSheetId="21" hidden="1">#REF!</definedName>
    <definedName name="Z_6BA141F5_E104_11DA_B6F6_00609720E0A1_.wvu.PrintArea" hidden="1">#REF!</definedName>
    <definedName name="Z_6BA141F5_E104_11DA_B6F6_00609720E0A1_.wvu.PrintTitles" localSheetId="14" hidden="1">#REF!</definedName>
    <definedName name="Z_6BA141F5_E104_11DA_B6F6_00609720E0A1_.wvu.PrintTitles" localSheetId="17" hidden="1">#REF!</definedName>
    <definedName name="Z_6BA141F5_E104_11DA_B6F6_00609720E0A1_.wvu.PrintTitles" localSheetId="18" hidden="1">#REF!</definedName>
    <definedName name="Z_6BA141F5_E104_11DA_B6F6_00609720E0A1_.wvu.PrintTitles" localSheetId="9" hidden="1">#REF!</definedName>
    <definedName name="Z_6BA141F5_E104_11DA_B6F6_00609720E0A1_.wvu.PrintTitles" localSheetId="11" hidden="1">#REF!</definedName>
    <definedName name="Z_6BA141F5_E104_11DA_B6F6_00609720E0A1_.wvu.PrintTitles" localSheetId="13" hidden="1">#REF!</definedName>
    <definedName name="Z_6BA141F5_E104_11DA_B6F6_00609720E0A1_.wvu.PrintTitles" localSheetId="20" hidden="1">#REF!</definedName>
    <definedName name="Z_6BA141F5_E104_11DA_B6F6_00609720E0A1_.wvu.PrintTitles" localSheetId="22" hidden="1">#REF!</definedName>
    <definedName name="Z_6BA141F5_E104_11DA_B6F6_00609720E0A1_.wvu.PrintTitles" localSheetId="21" hidden="1">#REF!</definedName>
    <definedName name="Z_6BA141F5_E104_11DA_B6F6_00609720E0A1_.wvu.PrintTitles" hidden="1">#REF!</definedName>
    <definedName name="Z_6BA141F6_E104_11DA_B6F6_00609720E0A1_.wvu.FilterData" localSheetId="14" hidden="1">#REF!</definedName>
    <definedName name="Z_6BA141F6_E104_11DA_B6F6_00609720E0A1_.wvu.FilterData" localSheetId="17" hidden="1">#REF!</definedName>
    <definedName name="Z_6BA141F6_E104_11DA_B6F6_00609720E0A1_.wvu.FilterData" localSheetId="18" hidden="1">#REF!</definedName>
    <definedName name="Z_6BA141F6_E104_11DA_B6F6_00609720E0A1_.wvu.FilterData" localSheetId="9" hidden="1">#REF!</definedName>
    <definedName name="Z_6BA141F6_E104_11DA_B6F6_00609720E0A1_.wvu.FilterData" localSheetId="11" hidden="1">#REF!</definedName>
    <definedName name="Z_6BA141F6_E104_11DA_B6F6_00609720E0A1_.wvu.FilterData" localSheetId="13" hidden="1">#REF!</definedName>
    <definedName name="Z_6BA141F6_E104_11DA_B6F6_00609720E0A1_.wvu.FilterData" localSheetId="20" hidden="1">#REF!</definedName>
    <definedName name="Z_6BA141F6_E104_11DA_B6F6_00609720E0A1_.wvu.FilterData" localSheetId="22" hidden="1">#REF!</definedName>
    <definedName name="Z_6BA141F6_E104_11DA_B6F6_00609720E0A1_.wvu.FilterData" localSheetId="21" hidden="1">#REF!</definedName>
    <definedName name="Z_6BA141F6_E104_11DA_B6F6_00609720E0A1_.wvu.FilterData" hidden="1">#REF!</definedName>
    <definedName name="Z_6BA141F6_E104_11DA_B6F6_00609720E0A1_.wvu.PrintArea" localSheetId="14" hidden="1">#REF!</definedName>
    <definedName name="Z_6BA141F6_E104_11DA_B6F6_00609720E0A1_.wvu.PrintArea" localSheetId="17" hidden="1">#REF!</definedName>
    <definedName name="Z_6BA141F6_E104_11DA_B6F6_00609720E0A1_.wvu.PrintArea" localSheetId="18" hidden="1">#REF!</definedName>
    <definedName name="Z_6BA141F6_E104_11DA_B6F6_00609720E0A1_.wvu.PrintArea" localSheetId="9" hidden="1">#REF!</definedName>
    <definedName name="Z_6BA141F6_E104_11DA_B6F6_00609720E0A1_.wvu.PrintArea" localSheetId="11" hidden="1">#REF!</definedName>
    <definedName name="Z_6BA141F6_E104_11DA_B6F6_00609720E0A1_.wvu.PrintArea" localSheetId="13" hidden="1">#REF!</definedName>
    <definedName name="Z_6BA141F6_E104_11DA_B6F6_00609720E0A1_.wvu.PrintArea" localSheetId="20" hidden="1">#REF!</definedName>
    <definedName name="Z_6BA141F6_E104_11DA_B6F6_00609720E0A1_.wvu.PrintArea" localSheetId="22" hidden="1">#REF!</definedName>
    <definedName name="Z_6BA141F6_E104_11DA_B6F6_00609720E0A1_.wvu.PrintArea" localSheetId="21" hidden="1">#REF!</definedName>
    <definedName name="Z_6BA141F6_E104_11DA_B6F6_00609720E0A1_.wvu.PrintArea" hidden="1">#REF!</definedName>
    <definedName name="Z_6BA141F6_E104_11DA_B6F6_00609720E0A1_.wvu.PrintTitles" localSheetId="14" hidden="1">#REF!</definedName>
    <definedName name="Z_6BA141F6_E104_11DA_B6F6_00609720E0A1_.wvu.PrintTitles" localSheetId="17" hidden="1">#REF!</definedName>
    <definedName name="Z_6BA141F6_E104_11DA_B6F6_00609720E0A1_.wvu.PrintTitles" localSheetId="18" hidden="1">#REF!</definedName>
    <definedName name="Z_6BA141F6_E104_11DA_B6F6_00609720E0A1_.wvu.PrintTitles" localSheetId="9" hidden="1">#REF!</definedName>
    <definedName name="Z_6BA141F6_E104_11DA_B6F6_00609720E0A1_.wvu.PrintTitles" localSheetId="11" hidden="1">#REF!</definedName>
    <definedName name="Z_6BA141F6_E104_11DA_B6F6_00609720E0A1_.wvu.PrintTitles" localSheetId="13" hidden="1">#REF!</definedName>
    <definedName name="Z_6BA141F6_E104_11DA_B6F6_00609720E0A1_.wvu.PrintTitles" localSheetId="20" hidden="1">#REF!</definedName>
    <definedName name="Z_6BA141F6_E104_11DA_B6F6_00609720E0A1_.wvu.PrintTitles" localSheetId="22" hidden="1">#REF!</definedName>
    <definedName name="Z_6BA141F6_E104_11DA_B6F6_00609720E0A1_.wvu.PrintTitles" localSheetId="21" hidden="1">#REF!</definedName>
    <definedName name="Z_6BA141F6_E104_11DA_B6F6_00609720E0A1_.wvu.PrintTitles" hidden="1">#REF!</definedName>
    <definedName name="Z_726673D2_C579_4EF3_83C7_45DC3792EA6A_.wvu.FilterData" localSheetId="14" hidden="1">#REF!</definedName>
    <definedName name="Z_726673D2_C579_4EF3_83C7_45DC3792EA6A_.wvu.FilterData" localSheetId="17" hidden="1">#REF!</definedName>
    <definedName name="Z_726673D2_C579_4EF3_83C7_45DC3792EA6A_.wvu.FilterData" localSheetId="18" hidden="1">#REF!</definedName>
    <definedName name="Z_726673D2_C579_4EF3_83C7_45DC3792EA6A_.wvu.FilterData" localSheetId="9" hidden="1">#REF!</definedName>
    <definedName name="Z_726673D2_C579_4EF3_83C7_45DC3792EA6A_.wvu.FilterData" localSheetId="11" hidden="1">#REF!</definedName>
    <definedName name="Z_726673D2_C579_4EF3_83C7_45DC3792EA6A_.wvu.FilterData" localSheetId="13" hidden="1">#REF!</definedName>
    <definedName name="Z_726673D2_C579_4EF3_83C7_45DC3792EA6A_.wvu.FilterData" localSheetId="20" hidden="1">#REF!</definedName>
    <definedName name="Z_726673D2_C579_4EF3_83C7_45DC3792EA6A_.wvu.FilterData" localSheetId="22" hidden="1">#REF!</definedName>
    <definedName name="Z_726673D2_C579_4EF3_83C7_45DC3792EA6A_.wvu.FilterData" localSheetId="21" hidden="1">#REF!</definedName>
    <definedName name="Z_726673D2_C579_4EF3_83C7_45DC3792EA6A_.wvu.FilterData" hidden="1">#REF!</definedName>
    <definedName name="Z_726673D2_C579_4EF3_83C7_45DC3792EA6A_.wvu.PrintArea" localSheetId="14" hidden="1">#REF!</definedName>
    <definedName name="Z_726673D2_C579_4EF3_83C7_45DC3792EA6A_.wvu.PrintArea" localSheetId="17" hidden="1">#REF!</definedName>
    <definedName name="Z_726673D2_C579_4EF3_83C7_45DC3792EA6A_.wvu.PrintArea" localSheetId="18" hidden="1">#REF!</definedName>
    <definedName name="Z_726673D2_C579_4EF3_83C7_45DC3792EA6A_.wvu.PrintArea" localSheetId="9" hidden="1">#REF!</definedName>
    <definedName name="Z_726673D2_C579_4EF3_83C7_45DC3792EA6A_.wvu.PrintArea" localSheetId="11" hidden="1">#REF!</definedName>
    <definedName name="Z_726673D2_C579_4EF3_83C7_45DC3792EA6A_.wvu.PrintArea" localSheetId="13" hidden="1">#REF!</definedName>
    <definedName name="Z_726673D2_C579_4EF3_83C7_45DC3792EA6A_.wvu.PrintArea" localSheetId="20" hidden="1">#REF!</definedName>
    <definedName name="Z_726673D2_C579_4EF3_83C7_45DC3792EA6A_.wvu.PrintArea" localSheetId="22" hidden="1">#REF!</definedName>
    <definedName name="Z_726673D2_C579_4EF3_83C7_45DC3792EA6A_.wvu.PrintArea" localSheetId="21" hidden="1">#REF!</definedName>
    <definedName name="Z_726673D2_C579_4EF3_83C7_45DC3792EA6A_.wvu.PrintArea" hidden="1">#REF!</definedName>
    <definedName name="Z_726673D2_C579_4EF3_83C7_45DC3792EA6A_.wvu.PrintTitles" localSheetId="14" hidden="1">#REF!</definedName>
    <definedName name="Z_726673D2_C579_4EF3_83C7_45DC3792EA6A_.wvu.PrintTitles" localSheetId="17" hidden="1">#REF!</definedName>
    <definedName name="Z_726673D2_C579_4EF3_83C7_45DC3792EA6A_.wvu.PrintTitles" localSheetId="18" hidden="1">#REF!</definedName>
    <definedName name="Z_726673D2_C579_4EF3_83C7_45DC3792EA6A_.wvu.PrintTitles" localSheetId="9" hidden="1">#REF!</definedName>
    <definedName name="Z_726673D2_C579_4EF3_83C7_45DC3792EA6A_.wvu.PrintTitles" localSheetId="11" hidden="1">#REF!</definedName>
    <definedName name="Z_726673D2_C579_4EF3_83C7_45DC3792EA6A_.wvu.PrintTitles" localSheetId="13" hidden="1">#REF!</definedName>
    <definedName name="Z_726673D2_C579_4EF3_83C7_45DC3792EA6A_.wvu.PrintTitles" localSheetId="20" hidden="1">#REF!</definedName>
    <definedName name="Z_726673D2_C579_4EF3_83C7_45DC3792EA6A_.wvu.PrintTitles" localSheetId="22" hidden="1">#REF!</definedName>
    <definedName name="Z_726673D2_C579_4EF3_83C7_45DC3792EA6A_.wvu.PrintTitles" localSheetId="21" hidden="1">#REF!</definedName>
    <definedName name="Z_726673D2_C579_4EF3_83C7_45DC3792EA6A_.wvu.PrintTitles" hidden="1">#REF!</definedName>
    <definedName name="Z_729969D8_DFDA_47B9_ADA2_E05CF62B3DEF_.wvu.FilterData" localSheetId="14" hidden="1">#REF!</definedName>
    <definedName name="Z_729969D8_DFDA_47B9_ADA2_E05CF62B3DEF_.wvu.FilterData" localSheetId="17" hidden="1">#REF!</definedName>
    <definedName name="Z_729969D8_DFDA_47B9_ADA2_E05CF62B3DEF_.wvu.FilterData" localSheetId="18" hidden="1">#REF!</definedName>
    <definedName name="Z_729969D8_DFDA_47B9_ADA2_E05CF62B3DEF_.wvu.FilterData" localSheetId="9" hidden="1">#REF!</definedName>
    <definedName name="Z_729969D8_DFDA_47B9_ADA2_E05CF62B3DEF_.wvu.FilterData" localSheetId="11" hidden="1">#REF!</definedName>
    <definedName name="Z_729969D8_DFDA_47B9_ADA2_E05CF62B3DEF_.wvu.FilterData" localSheetId="13" hidden="1">#REF!</definedName>
    <definedName name="Z_729969D8_DFDA_47B9_ADA2_E05CF62B3DEF_.wvu.FilterData" localSheetId="20" hidden="1">#REF!</definedName>
    <definedName name="Z_729969D8_DFDA_47B9_ADA2_E05CF62B3DEF_.wvu.FilterData" localSheetId="22" hidden="1">#REF!</definedName>
    <definedName name="Z_729969D8_DFDA_47B9_ADA2_E05CF62B3DEF_.wvu.FilterData" localSheetId="21" hidden="1">#REF!</definedName>
    <definedName name="Z_729969D8_DFDA_47B9_ADA2_E05CF62B3DEF_.wvu.FilterData" hidden="1">#REF!</definedName>
    <definedName name="Z_729969D8_DFDA_47B9_ADA2_E05CF62B3DEF_.wvu.PrintArea" localSheetId="14" hidden="1">#REF!</definedName>
    <definedName name="Z_729969D8_DFDA_47B9_ADA2_E05CF62B3DEF_.wvu.PrintArea" localSheetId="17" hidden="1">#REF!</definedName>
    <definedName name="Z_729969D8_DFDA_47B9_ADA2_E05CF62B3DEF_.wvu.PrintArea" localSheetId="18" hidden="1">#REF!</definedName>
    <definedName name="Z_729969D8_DFDA_47B9_ADA2_E05CF62B3DEF_.wvu.PrintArea" localSheetId="9" hidden="1">#REF!</definedName>
    <definedName name="Z_729969D8_DFDA_47B9_ADA2_E05CF62B3DEF_.wvu.PrintArea" localSheetId="11" hidden="1">#REF!</definedName>
    <definedName name="Z_729969D8_DFDA_47B9_ADA2_E05CF62B3DEF_.wvu.PrintArea" localSheetId="13" hidden="1">#REF!</definedName>
    <definedName name="Z_729969D8_DFDA_47B9_ADA2_E05CF62B3DEF_.wvu.PrintArea" localSheetId="20" hidden="1">#REF!</definedName>
    <definedName name="Z_729969D8_DFDA_47B9_ADA2_E05CF62B3DEF_.wvu.PrintArea" localSheetId="22" hidden="1">#REF!</definedName>
    <definedName name="Z_729969D8_DFDA_47B9_ADA2_E05CF62B3DEF_.wvu.PrintArea" localSheetId="21" hidden="1">#REF!</definedName>
    <definedName name="Z_729969D8_DFDA_47B9_ADA2_E05CF62B3DEF_.wvu.PrintArea" hidden="1">#REF!</definedName>
    <definedName name="Z_729969D8_DFDA_47B9_ADA2_E05CF62B3DEF_.wvu.PrintTitles" localSheetId="14" hidden="1">#REF!</definedName>
    <definedName name="Z_729969D8_DFDA_47B9_ADA2_E05CF62B3DEF_.wvu.PrintTitles" localSheetId="17" hidden="1">#REF!</definedName>
    <definedName name="Z_729969D8_DFDA_47B9_ADA2_E05CF62B3DEF_.wvu.PrintTitles" localSheetId="18" hidden="1">#REF!</definedName>
    <definedName name="Z_729969D8_DFDA_47B9_ADA2_E05CF62B3DEF_.wvu.PrintTitles" localSheetId="9" hidden="1">#REF!</definedName>
    <definedName name="Z_729969D8_DFDA_47B9_ADA2_E05CF62B3DEF_.wvu.PrintTitles" localSheetId="11" hidden="1">#REF!</definedName>
    <definedName name="Z_729969D8_DFDA_47B9_ADA2_E05CF62B3DEF_.wvu.PrintTitles" localSheetId="13" hidden="1">#REF!</definedName>
    <definedName name="Z_729969D8_DFDA_47B9_ADA2_E05CF62B3DEF_.wvu.PrintTitles" localSheetId="20" hidden="1">#REF!</definedName>
    <definedName name="Z_729969D8_DFDA_47B9_ADA2_E05CF62B3DEF_.wvu.PrintTitles" localSheetId="22" hidden="1">#REF!</definedName>
    <definedName name="Z_729969D8_DFDA_47B9_ADA2_E05CF62B3DEF_.wvu.PrintTitles" localSheetId="21" hidden="1">#REF!</definedName>
    <definedName name="Z_729969D8_DFDA_47B9_ADA2_E05CF62B3DEF_.wvu.PrintTitles" hidden="1">#REF!</definedName>
    <definedName name="Z_75EDDC88_CA8C_4671_911D_25D74F37EC47_.wvu.FilterData" localSheetId="14" hidden="1">#REF!</definedName>
    <definedName name="Z_75EDDC88_CA8C_4671_911D_25D74F37EC47_.wvu.FilterData" localSheetId="17" hidden="1">#REF!</definedName>
    <definedName name="Z_75EDDC88_CA8C_4671_911D_25D74F37EC47_.wvu.FilterData" localSheetId="18" hidden="1">#REF!</definedName>
    <definedName name="Z_75EDDC88_CA8C_4671_911D_25D74F37EC47_.wvu.FilterData" localSheetId="9" hidden="1">#REF!</definedName>
    <definedName name="Z_75EDDC88_CA8C_4671_911D_25D74F37EC47_.wvu.FilterData" localSheetId="11" hidden="1">#REF!</definedName>
    <definedName name="Z_75EDDC88_CA8C_4671_911D_25D74F37EC47_.wvu.FilterData" localSheetId="13" hidden="1">#REF!</definedName>
    <definedName name="Z_75EDDC88_CA8C_4671_911D_25D74F37EC47_.wvu.FilterData" localSheetId="20" hidden="1">#REF!</definedName>
    <definedName name="Z_75EDDC88_CA8C_4671_911D_25D74F37EC47_.wvu.FilterData" localSheetId="22" hidden="1">#REF!</definedName>
    <definedName name="Z_75EDDC88_CA8C_4671_911D_25D74F37EC47_.wvu.FilterData" localSheetId="21" hidden="1">#REF!</definedName>
    <definedName name="Z_75EDDC88_CA8C_4671_911D_25D74F37EC47_.wvu.FilterData" hidden="1">#REF!</definedName>
    <definedName name="Z_75EDDC88_CA8C_4671_911D_25D74F37EC47_.wvu.PrintArea" localSheetId="14" hidden="1">#REF!</definedName>
    <definedName name="Z_75EDDC88_CA8C_4671_911D_25D74F37EC47_.wvu.PrintArea" localSheetId="17" hidden="1">#REF!</definedName>
    <definedName name="Z_75EDDC88_CA8C_4671_911D_25D74F37EC47_.wvu.PrintArea" localSheetId="18" hidden="1">#REF!</definedName>
    <definedName name="Z_75EDDC88_CA8C_4671_911D_25D74F37EC47_.wvu.PrintArea" localSheetId="9" hidden="1">#REF!</definedName>
    <definedName name="Z_75EDDC88_CA8C_4671_911D_25D74F37EC47_.wvu.PrintArea" localSheetId="11" hidden="1">#REF!</definedName>
    <definedName name="Z_75EDDC88_CA8C_4671_911D_25D74F37EC47_.wvu.PrintArea" localSheetId="13" hidden="1">#REF!</definedName>
    <definedName name="Z_75EDDC88_CA8C_4671_911D_25D74F37EC47_.wvu.PrintArea" localSheetId="20" hidden="1">#REF!</definedName>
    <definedName name="Z_75EDDC88_CA8C_4671_911D_25D74F37EC47_.wvu.PrintArea" localSheetId="22" hidden="1">#REF!</definedName>
    <definedName name="Z_75EDDC88_CA8C_4671_911D_25D74F37EC47_.wvu.PrintArea" localSheetId="21" hidden="1">#REF!</definedName>
    <definedName name="Z_75EDDC88_CA8C_4671_911D_25D74F37EC47_.wvu.PrintArea" hidden="1">#REF!</definedName>
    <definedName name="Z_75EDDC88_CA8C_4671_911D_25D74F37EC47_.wvu.PrintTitles" localSheetId="14" hidden="1">#REF!</definedName>
    <definedName name="Z_75EDDC88_CA8C_4671_911D_25D74F37EC47_.wvu.PrintTitles" localSheetId="17" hidden="1">#REF!</definedName>
    <definedName name="Z_75EDDC88_CA8C_4671_911D_25D74F37EC47_.wvu.PrintTitles" localSheetId="18" hidden="1">#REF!</definedName>
    <definedName name="Z_75EDDC88_CA8C_4671_911D_25D74F37EC47_.wvu.PrintTitles" localSheetId="9" hidden="1">#REF!</definedName>
    <definedName name="Z_75EDDC88_CA8C_4671_911D_25D74F37EC47_.wvu.PrintTitles" localSheetId="11" hidden="1">#REF!</definedName>
    <definedName name="Z_75EDDC88_CA8C_4671_911D_25D74F37EC47_.wvu.PrintTitles" localSheetId="13" hidden="1">#REF!</definedName>
    <definedName name="Z_75EDDC88_CA8C_4671_911D_25D74F37EC47_.wvu.PrintTitles" localSheetId="20" hidden="1">#REF!</definedName>
    <definedName name="Z_75EDDC88_CA8C_4671_911D_25D74F37EC47_.wvu.PrintTitles" localSheetId="22" hidden="1">#REF!</definedName>
    <definedName name="Z_75EDDC88_CA8C_4671_911D_25D74F37EC47_.wvu.PrintTitles" localSheetId="21" hidden="1">#REF!</definedName>
    <definedName name="Z_75EDDC88_CA8C_4671_911D_25D74F37EC47_.wvu.PrintTitles" hidden="1">#REF!</definedName>
    <definedName name="Z_80573755_2D8B_4158_BD3A_CC331B950748_.wvu.FilterData" localSheetId="14" hidden="1">#REF!</definedName>
    <definedName name="Z_80573755_2D8B_4158_BD3A_CC331B950748_.wvu.FilterData" localSheetId="17" hidden="1">#REF!</definedName>
    <definedName name="Z_80573755_2D8B_4158_BD3A_CC331B950748_.wvu.FilterData" localSheetId="18" hidden="1">#REF!</definedName>
    <definedName name="Z_80573755_2D8B_4158_BD3A_CC331B950748_.wvu.FilterData" localSheetId="9" hidden="1">#REF!</definedName>
    <definedName name="Z_80573755_2D8B_4158_BD3A_CC331B950748_.wvu.FilterData" localSheetId="11" hidden="1">#REF!</definedName>
    <definedName name="Z_80573755_2D8B_4158_BD3A_CC331B950748_.wvu.FilterData" localSheetId="13" hidden="1">#REF!</definedName>
    <definedName name="Z_80573755_2D8B_4158_BD3A_CC331B950748_.wvu.FilterData" localSheetId="20" hidden="1">#REF!</definedName>
    <definedName name="Z_80573755_2D8B_4158_BD3A_CC331B950748_.wvu.FilterData" localSheetId="22" hidden="1">#REF!</definedName>
    <definedName name="Z_80573755_2D8B_4158_BD3A_CC331B950748_.wvu.FilterData" localSheetId="21" hidden="1">#REF!</definedName>
    <definedName name="Z_80573755_2D8B_4158_BD3A_CC331B950748_.wvu.FilterData" hidden="1">#REF!</definedName>
    <definedName name="Z_80573755_2D8B_4158_BD3A_CC331B950748_.wvu.PrintArea" localSheetId="14" hidden="1">#REF!</definedName>
    <definedName name="Z_80573755_2D8B_4158_BD3A_CC331B950748_.wvu.PrintArea" localSheetId="17" hidden="1">#REF!</definedName>
    <definedName name="Z_80573755_2D8B_4158_BD3A_CC331B950748_.wvu.PrintArea" localSheetId="18" hidden="1">#REF!</definedName>
    <definedName name="Z_80573755_2D8B_4158_BD3A_CC331B950748_.wvu.PrintArea" localSheetId="9" hidden="1">#REF!</definedName>
    <definedName name="Z_80573755_2D8B_4158_BD3A_CC331B950748_.wvu.PrintArea" localSheetId="11" hidden="1">#REF!</definedName>
    <definedName name="Z_80573755_2D8B_4158_BD3A_CC331B950748_.wvu.PrintArea" localSheetId="13" hidden="1">#REF!</definedName>
    <definedName name="Z_80573755_2D8B_4158_BD3A_CC331B950748_.wvu.PrintArea" localSheetId="20" hidden="1">#REF!</definedName>
    <definedName name="Z_80573755_2D8B_4158_BD3A_CC331B950748_.wvu.PrintArea" localSheetId="22" hidden="1">#REF!</definedName>
    <definedName name="Z_80573755_2D8B_4158_BD3A_CC331B950748_.wvu.PrintArea" localSheetId="21" hidden="1">#REF!</definedName>
    <definedName name="Z_80573755_2D8B_4158_BD3A_CC331B950748_.wvu.PrintArea" hidden="1">#REF!</definedName>
    <definedName name="Z_80573755_2D8B_4158_BD3A_CC331B950748_.wvu.PrintTitles" localSheetId="14" hidden="1">#REF!</definedName>
    <definedName name="Z_80573755_2D8B_4158_BD3A_CC331B950748_.wvu.PrintTitles" localSheetId="17" hidden="1">#REF!</definedName>
    <definedName name="Z_80573755_2D8B_4158_BD3A_CC331B950748_.wvu.PrintTitles" localSheetId="18" hidden="1">#REF!</definedName>
    <definedName name="Z_80573755_2D8B_4158_BD3A_CC331B950748_.wvu.PrintTitles" localSheetId="9" hidden="1">#REF!</definedName>
    <definedName name="Z_80573755_2D8B_4158_BD3A_CC331B950748_.wvu.PrintTitles" localSheetId="11" hidden="1">#REF!</definedName>
    <definedName name="Z_80573755_2D8B_4158_BD3A_CC331B950748_.wvu.PrintTitles" localSheetId="13" hidden="1">#REF!</definedName>
    <definedName name="Z_80573755_2D8B_4158_BD3A_CC331B950748_.wvu.PrintTitles" localSheetId="20" hidden="1">#REF!</definedName>
    <definedName name="Z_80573755_2D8B_4158_BD3A_CC331B950748_.wvu.PrintTitles" localSheetId="22" hidden="1">#REF!</definedName>
    <definedName name="Z_80573755_2D8B_4158_BD3A_CC331B950748_.wvu.PrintTitles" localSheetId="21" hidden="1">#REF!</definedName>
    <definedName name="Z_80573755_2D8B_4158_BD3A_CC331B950748_.wvu.PrintTitles" hidden="1">#REF!</definedName>
    <definedName name="Z_91E95AE5_DCC2_11D0_8DF1_00805F2A002D_.wvu.Cols" hidden="1">#REF!,#REF!</definedName>
    <definedName name="Z_91E95AE6_DCC2_11D0_8DF1_00805F2A002D_.wvu.Cols" hidden="1">#REF!,#REF!</definedName>
    <definedName name="Z_91E95AE6_DCC2_11D0_8DF1_00805F2A002D_.wvu.Rows" hidden="1">#REF!,#REF!</definedName>
    <definedName name="Z_91E95AE7_DCC2_11D0_8DF1_00805F2A002D_.wvu.Cols" hidden="1">#REF!,#REF!,#REF!,#REF!,#REF!,#REF!,#REF!,#REF!</definedName>
    <definedName name="Z_91E95AE8_DCC2_11D0_8DF1_00805F2A002D_.wvu.Cols" hidden="1">#REF!,#REF!,#REF!,#REF!,#REF!</definedName>
    <definedName name="Z_91E95AE9_DCC2_11D0_8DF1_00805F2A002D_.wvu.Cols" hidden="1">#REF!,#REF!,#REF!,#REF!,#REF!,#REF!</definedName>
    <definedName name="Z_91E95AEB_DCC2_11D0_8DF1_00805F2A002D_.wvu.Cols" hidden="1">#REF!,#REF!</definedName>
    <definedName name="Z_91E95AEC_DCC2_11D0_8DF1_00805F2A002D_.wvu.Cols" hidden="1">#REF!,#REF!,#REF!,#REF!,#REF!</definedName>
    <definedName name="Z_9C7B0D6D_4DDE_4C72_B23F_2E183F63ECB1_.wvu.FilterData" localSheetId="14" hidden="1">#REF!</definedName>
    <definedName name="Z_9C7B0D6D_4DDE_4C72_B23F_2E183F63ECB1_.wvu.FilterData" localSheetId="17" hidden="1">#REF!</definedName>
    <definedName name="Z_9C7B0D6D_4DDE_4C72_B23F_2E183F63ECB1_.wvu.FilterData" localSheetId="18" hidden="1">#REF!</definedName>
    <definedName name="Z_9C7B0D6D_4DDE_4C72_B23F_2E183F63ECB1_.wvu.FilterData" localSheetId="9" hidden="1">#REF!</definedName>
    <definedName name="Z_9C7B0D6D_4DDE_4C72_B23F_2E183F63ECB1_.wvu.FilterData" localSheetId="11" hidden="1">#REF!</definedName>
    <definedName name="Z_9C7B0D6D_4DDE_4C72_B23F_2E183F63ECB1_.wvu.FilterData" localSheetId="13" hidden="1">#REF!</definedName>
    <definedName name="Z_9C7B0D6D_4DDE_4C72_B23F_2E183F63ECB1_.wvu.FilterData" localSheetId="20" hidden="1">#REF!</definedName>
    <definedName name="Z_9C7B0D6D_4DDE_4C72_B23F_2E183F63ECB1_.wvu.FilterData" localSheetId="22" hidden="1">#REF!</definedName>
    <definedName name="Z_9C7B0D6D_4DDE_4C72_B23F_2E183F63ECB1_.wvu.FilterData" localSheetId="21" hidden="1">#REF!</definedName>
    <definedName name="Z_9C7B0D6D_4DDE_4C72_B23F_2E183F63ECB1_.wvu.FilterData" hidden="1">#REF!</definedName>
    <definedName name="Z_9C7B0D6D_4DDE_4C72_B23F_2E183F63ECB1_.wvu.PrintArea" localSheetId="14" hidden="1">#REF!</definedName>
    <definedName name="Z_9C7B0D6D_4DDE_4C72_B23F_2E183F63ECB1_.wvu.PrintArea" localSheetId="17" hidden="1">#REF!</definedName>
    <definedName name="Z_9C7B0D6D_4DDE_4C72_B23F_2E183F63ECB1_.wvu.PrintArea" localSheetId="18" hidden="1">#REF!</definedName>
    <definedName name="Z_9C7B0D6D_4DDE_4C72_B23F_2E183F63ECB1_.wvu.PrintArea" localSheetId="9" hidden="1">#REF!</definedName>
    <definedName name="Z_9C7B0D6D_4DDE_4C72_B23F_2E183F63ECB1_.wvu.PrintArea" localSheetId="11" hidden="1">#REF!</definedName>
    <definedName name="Z_9C7B0D6D_4DDE_4C72_B23F_2E183F63ECB1_.wvu.PrintArea" localSheetId="13" hidden="1">#REF!</definedName>
    <definedName name="Z_9C7B0D6D_4DDE_4C72_B23F_2E183F63ECB1_.wvu.PrintArea" localSheetId="20" hidden="1">#REF!</definedName>
    <definedName name="Z_9C7B0D6D_4DDE_4C72_B23F_2E183F63ECB1_.wvu.PrintArea" localSheetId="22" hidden="1">#REF!</definedName>
    <definedName name="Z_9C7B0D6D_4DDE_4C72_B23F_2E183F63ECB1_.wvu.PrintArea" localSheetId="21" hidden="1">#REF!</definedName>
    <definedName name="Z_9C7B0D6D_4DDE_4C72_B23F_2E183F63ECB1_.wvu.PrintArea" hidden="1">#REF!</definedName>
    <definedName name="Z_9C7B0D6D_4DDE_4C72_B23F_2E183F63ECB1_.wvu.PrintTitles" localSheetId="14" hidden="1">#REF!</definedName>
    <definedName name="Z_9C7B0D6D_4DDE_4C72_B23F_2E183F63ECB1_.wvu.PrintTitles" localSheetId="17" hidden="1">#REF!</definedName>
    <definedName name="Z_9C7B0D6D_4DDE_4C72_B23F_2E183F63ECB1_.wvu.PrintTitles" localSheetId="18" hidden="1">#REF!</definedName>
    <definedName name="Z_9C7B0D6D_4DDE_4C72_B23F_2E183F63ECB1_.wvu.PrintTitles" localSheetId="9" hidden="1">#REF!</definedName>
    <definedName name="Z_9C7B0D6D_4DDE_4C72_B23F_2E183F63ECB1_.wvu.PrintTitles" localSheetId="11" hidden="1">#REF!</definedName>
    <definedName name="Z_9C7B0D6D_4DDE_4C72_B23F_2E183F63ECB1_.wvu.PrintTitles" localSheetId="13" hidden="1">#REF!</definedName>
    <definedName name="Z_9C7B0D6D_4DDE_4C72_B23F_2E183F63ECB1_.wvu.PrintTitles" localSheetId="20" hidden="1">#REF!</definedName>
    <definedName name="Z_9C7B0D6D_4DDE_4C72_B23F_2E183F63ECB1_.wvu.PrintTitles" localSheetId="22" hidden="1">#REF!</definedName>
    <definedName name="Z_9C7B0D6D_4DDE_4C72_B23F_2E183F63ECB1_.wvu.PrintTitles" localSheetId="21" hidden="1">#REF!</definedName>
    <definedName name="Z_9C7B0D6D_4DDE_4C72_B23F_2E183F63ECB1_.wvu.PrintTitles" hidden="1">#REF!</definedName>
    <definedName name="Z_9C8B6436_249F_426A_96DC_EEE5E7CB7D1B_.wvu.FilterData" localSheetId="14" hidden="1">#REF!</definedName>
    <definedName name="Z_9C8B6436_249F_426A_96DC_EEE5E7CB7D1B_.wvu.FilterData" localSheetId="17" hidden="1">#REF!</definedName>
    <definedName name="Z_9C8B6436_249F_426A_96DC_EEE5E7CB7D1B_.wvu.FilterData" localSheetId="18" hidden="1">#REF!</definedName>
    <definedName name="Z_9C8B6436_249F_426A_96DC_EEE5E7CB7D1B_.wvu.FilterData" localSheetId="9" hidden="1">#REF!</definedName>
    <definedName name="Z_9C8B6436_249F_426A_96DC_EEE5E7CB7D1B_.wvu.FilterData" localSheetId="11" hidden="1">#REF!</definedName>
    <definedName name="Z_9C8B6436_249F_426A_96DC_EEE5E7CB7D1B_.wvu.FilterData" localSheetId="13" hidden="1">#REF!</definedName>
    <definedName name="Z_9C8B6436_249F_426A_96DC_EEE5E7CB7D1B_.wvu.FilterData" localSheetId="20" hidden="1">#REF!</definedName>
    <definedName name="Z_9C8B6436_249F_426A_96DC_EEE5E7CB7D1B_.wvu.FilterData" localSheetId="22" hidden="1">#REF!</definedName>
    <definedName name="Z_9C8B6436_249F_426A_96DC_EEE5E7CB7D1B_.wvu.FilterData" localSheetId="21" hidden="1">#REF!</definedName>
    <definedName name="Z_9C8B6436_249F_426A_96DC_EEE5E7CB7D1B_.wvu.FilterData" hidden="1">#REF!</definedName>
    <definedName name="Z_9C8B6436_249F_426A_96DC_EEE5E7CB7D1B_.wvu.PrintArea" localSheetId="14" hidden="1">#REF!</definedName>
    <definedName name="Z_9C8B6436_249F_426A_96DC_EEE5E7CB7D1B_.wvu.PrintArea" localSheetId="17" hidden="1">#REF!</definedName>
    <definedName name="Z_9C8B6436_249F_426A_96DC_EEE5E7CB7D1B_.wvu.PrintArea" localSheetId="18" hidden="1">#REF!</definedName>
    <definedName name="Z_9C8B6436_249F_426A_96DC_EEE5E7CB7D1B_.wvu.PrintArea" localSheetId="9" hidden="1">#REF!</definedName>
    <definedName name="Z_9C8B6436_249F_426A_96DC_EEE5E7CB7D1B_.wvu.PrintArea" localSheetId="11" hidden="1">#REF!</definedName>
    <definedName name="Z_9C8B6436_249F_426A_96DC_EEE5E7CB7D1B_.wvu.PrintArea" localSheetId="13" hidden="1">#REF!</definedName>
    <definedName name="Z_9C8B6436_249F_426A_96DC_EEE5E7CB7D1B_.wvu.PrintArea" localSheetId="20" hidden="1">#REF!</definedName>
    <definedName name="Z_9C8B6436_249F_426A_96DC_EEE5E7CB7D1B_.wvu.PrintArea" localSheetId="22" hidden="1">#REF!</definedName>
    <definedName name="Z_9C8B6436_249F_426A_96DC_EEE5E7CB7D1B_.wvu.PrintArea" localSheetId="21" hidden="1">#REF!</definedName>
    <definedName name="Z_9C8B6436_249F_426A_96DC_EEE5E7CB7D1B_.wvu.PrintArea" hidden="1">#REF!</definedName>
    <definedName name="Z_9C8B6436_249F_426A_96DC_EEE5E7CB7D1B_.wvu.PrintTitles" localSheetId="14" hidden="1">#REF!</definedName>
    <definedName name="Z_9C8B6436_249F_426A_96DC_EEE5E7CB7D1B_.wvu.PrintTitles" localSheetId="17" hidden="1">#REF!</definedName>
    <definedName name="Z_9C8B6436_249F_426A_96DC_EEE5E7CB7D1B_.wvu.PrintTitles" localSheetId="18" hidden="1">#REF!</definedName>
    <definedName name="Z_9C8B6436_249F_426A_96DC_EEE5E7CB7D1B_.wvu.PrintTitles" localSheetId="9" hidden="1">#REF!</definedName>
    <definedName name="Z_9C8B6436_249F_426A_96DC_EEE5E7CB7D1B_.wvu.PrintTitles" localSheetId="11" hidden="1">#REF!</definedName>
    <definedName name="Z_9C8B6436_249F_426A_96DC_EEE5E7CB7D1B_.wvu.PrintTitles" localSheetId="13" hidden="1">#REF!</definedName>
    <definedName name="Z_9C8B6436_249F_426A_96DC_EEE5E7CB7D1B_.wvu.PrintTitles" localSheetId="20" hidden="1">#REF!</definedName>
    <definedName name="Z_9C8B6436_249F_426A_96DC_EEE5E7CB7D1B_.wvu.PrintTitles" localSheetId="22" hidden="1">#REF!</definedName>
    <definedName name="Z_9C8B6436_249F_426A_96DC_EEE5E7CB7D1B_.wvu.PrintTitles" localSheetId="21" hidden="1">#REF!</definedName>
    <definedName name="Z_9C8B6436_249F_426A_96DC_EEE5E7CB7D1B_.wvu.PrintTitles" hidden="1">#REF!</definedName>
    <definedName name="Z_9FCFD0D5_270B_4F36_B422_02EF7A3700B8_.wvu.FilterData" localSheetId="14" hidden="1">#REF!</definedName>
    <definedName name="Z_9FCFD0D5_270B_4F36_B422_02EF7A3700B8_.wvu.FilterData" localSheetId="17" hidden="1">#REF!</definedName>
    <definedName name="Z_9FCFD0D5_270B_4F36_B422_02EF7A3700B8_.wvu.FilterData" localSheetId="18" hidden="1">#REF!</definedName>
    <definedName name="Z_9FCFD0D5_270B_4F36_B422_02EF7A3700B8_.wvu.FilterData" localSheetId="9" hidden="1">#REF!</definedName>
    <definedName name="Z_9FCFD0D5_270B_4F36_B422_02EF7A3700B8_.wvu.FilterData" localSheetId="11" hidden="1">#REF!</definedName>
    <definedName name="Z_9FCFD0D5_270B_4F36_B422_02EF7A3700B8_.wvu.FilterData" localSheetId="13" hidden="1">#REF!</definedName>
    <definedName name="Z_9FCFD0D5_270B_4F36_B422_02EF7A3700B8_.wvu.FilterData" localSheetId="20" hidden="1">#REF!</definedName>
    <definedName name="Z_9FCFD0D5_270B_4F36_B422_02EF7A3700B8_.wvu.FilterData" localSheetId="22" hidden="1">#REF!</definedName>
    <definedName name="Z_9FCFD0D5_270B_4F36_B422_02EF7A3700B8_.wvu.FilterData" localSheetId="21" hidden="1">#REF!</definedName>
    <definedName name="Z_9FCFD0D5_270B_4F36_B422_02EF7A3700B8_.wvu.FilterData" hidden="1">#REF!</definedName>
    <definedName name="Z_9FCFD0D5_270B_4F36_B422_02EF7A3700B8_.wvu.PrintArea" localSheetId="14" hidden="1">#REF!</definedName>
    <definedName name="Z_9FCFD0D5_270B_4F36_B422_02EF7A3700B8_.wvu.PrintArea" localSheetId="17" hidden="1">#REF!</definedName>
    <definedName name="Z_9FCFD0D5_270B_4F36_B422_02EF7A3700B8_.wvu.PrintArea" localSheetId="18" hidden="1">#REF!</definedName>
    <definedName name="Z_9FCFD0D5_270B_4F36_B422_02EF7A3700B8_.wvu.PrintArea" localSheetId="9" hidden="1">#REF!</definedName>
    <definedName name="Z_9FCFD0D5_270B_4F36_B422_02EF7A3700B8_.wvu.PrintArea" localSheetId="11" hidden="1">#REF!</definedName>
    <definedName name="Z_9FCFD0D5_270B_4F36_B422_02EF7A3700B8_.wvu.PrintArea" localSheetId="13" hidden="1">#REF!</definedName>
    <definedName name="Z_9FCFD0D5_270B_4F36_B422_02EF7A3700B8_.wvu.PrintArea" localSheetId="20" hidden="1">#REF!</definedName>
    <definedName name="Z_9FCFD0D5_270B_4F36_B422_02EF7A3700B8_.wvu.PrintArea" localSheetId="22" hidden="1">#REF!</definedName>
    <definedName name="Z_9FCFD0D5_270B_4F36_B422_02EF7A3700B8_.wvu.PrintArea" localSheetId="21" hidden="1">#REF!</definedName>
    <definedName name="Z_9FCFD0D5_270B_4F36_B422_02EF7A3700B8_.wvu.PrintArea" hidden="1">#REF!</definedName>
    <definedName name="Z_9FCFD0D5_270B_4F36_B422_02EF7A3700B8_.wvu.PrintTitles" localSheetId="14" hidden="1">#REF!</definedName>
    <definedName name="Z_9FCFD0D5_270B_4F36_B422_02EF7A3700B8_.wvu.PrintTitles" localSheetId="17" hidden="1">#REF!</definedName>
    <definedName name="Z_9FCFD0D5_270B_4F36_B422_02EF7A3700B8_.wvu.PrintTitles" localSheetId="18" hidden="1">#REF!</definedName>
    <definedName name="Z_9FCFD0D5_270B_4F36_B422_02EF7A3700B8_.wvu.PrintTitles" localSheetId="9" hidden="1">#REF!</definedName>
    <definedName name="Z_9FCFD0D5_270B_4F36_B422_02EF7A3700B8_.wvu.PrintTitles" localSheetId="11" hidden="1">#REF!</definedName>
    <definedName name="Z_9FCFD0D5_270B_4F36_B422_02EF7A3700B8_.wvu.PrintTitles" localSheetId="13" hidden="1">#REF!</definedName>
    <definedName name="Z_9FCFD0D5_270B_4F36_B422_02EF7A3700B8_.wvu.PrintTitles" localSheetId="20" hidden="1">#REF!</definedName>
    <definedName name="Z_9FCFD0D5_270B_4F36_B422_02EF7A3700B8_.wvu.PrintTitles" localSheetId="22" hidden="1">#REF!</definedName>
    <definedName name="Z_9FCFD0D5_270B_4F36_B422_02EF7A3700B8_.wvu.PrintTitles" localSheetId="21" hidden="1">#REF!</definedName>
    <definedName name="Z_9FCFD0D5_270B_4F36_B422_02EF7A3700B8_.wvu.PrintTitles" hidden="1">#REF!</definedName>
    <definedName name="Z_9FE8FF3F_4486_44D6_9AFB_43CC5B824BF9_.wvu.FilterData" localSheetId="14" hidden="1">#REF!</definedName>
    <definedName name="Z_9FE8FF3F_4486_44D6_9AFB_43CC5B824BF9_.wvu.FilterData" localSheetId="17" hidden="1">#REF!</definedName>
    <definedName name="Z_9FE8FF3F_4486_44D6_9AFB_43CC5B824BF9_.wvu.FilterData" localSheetId="18" hidden="1">#REF!</definedName>
    <definedName name="Z_9FE8FF3F_4486_44D6_9AFB_43CC5B824BF9_.wvu.FilterData" localSheetId="9" hidden="1">#REF!</definedName>
    <definedName name="Z_9FE8FF3F_4486_44D6_9AFB_43CC5B824BF9_.wvu.FilterData" localSheetId="11" hidden="1">#REF!</definedName>
    <definedName name="Z_9FE8FF3F_4486_44D6_9AFB_43CC5B824BF9_.wvu.FilterData" localSheetId="13" hidden="1">#REF!</definedName>
    <definedName name="Z_9FE8FF3F_4486_44D6_9AFB_43CC5B824BF9_.wvu.FilterData" localSheetId="20" hidden="1">#REF!</definedName>
    <definedName name="Z_9FE8FF3F_4486_44D6_9AFB_43CC5B824BF9_.wvu.FilterData" localSheetId="22" hidden="1">#REF!</definedName>
    <definedName name="Z_9FE8FF3F_4486_44D6_9AFB_43CC5B824BF9_.wvu.FilterData" localSheetId="21" hidden="1">#REF!</definedName>
    <definedName name="Z_9FE8FF3F_4486_44D6_9AFB_43CC5B824BF9_.wvu.FilterData" hidden="1">#REF!</definedName>
    <definedName name="Z_9FE8FF3F_4486_44D6_9AFB_43CC5B824BF9_.wvu.PrintArea" localSheetId="14" hidden="1">#REF!</definedName>
    <definedName name="Z_9FE8FF3F_4486_44D6_9AFB_43CC5B824BF9_.wvu.PrintArea" localSheetId="17" hidden="1">#REF!</definedName>
    <definedName name="Z_9FE8FF3F_4486_44D6_9AFB_43CC5B824BF9_.wvu.PrintArea" localSheetId="18" hidden="1">#REF!</definedName>
    <definedName name="Z_9FE8FF3F_4486_44D6_9AFB_43CC5B824BF9_.wvu.PrintArea" localSheetId="9" hidden="1">#REF!</definedName>
    <definedName name="Z_9FE8FF3F_4486_44D6_9AFB_43CC5B824BF9_.wvu.PrintArea" localSheetId="11" hidden="1">#REF!</definedName>
    <definedName name="Z_9FE8FF3F_4486_44D6_9AFB_43CC5B824BF9_.wvu.PrintArea" localSheetId="13" hidden="1">#REF!</definedName>
    <definedName name="Z_9FE8FF3F_4486_44D6_9AFB_43CC5B824BF9_.wvu.PrintArea" localSheetId="20" hidden="1">#REF!</definedName>
    <definedName name="Z_9FE8FF3F_4486_44D6_9AFB_43CC5B824BF9_.wvu.PrintArea" localSheetId="22" hidden="1">#REF!</definedName>
    <definedName name="Z_9FE8FF3F_4486_44D6_9AFB_43CC5B824BF9_.wvu.PrintArea" localSheetId="21" hidden="1">#REF!</definedName>
    <definedName name="Z_9FE8FF3F_4486_44D6_9AFB_43CC5B824BF9_.wvu.PrintArea" hidden="1">#REF!</definedName>
    <definedName name="Z_9FE8FF3F_4486_44D6_9AFB_43CC5B824BF9_.wvu.PrintTitles" localSheetId="14" hidden="1">#REF!</definedName>
    <definedName name="Z_9FE8FF3F_4486_44D6_9AFB_43CC5B824BF9_.wvu.PrintTitles" localSheetId="17" hidden="1">#REF!</definedName>
    <definedName name="Z_9FE8FF3F_4486_44D6_9AFB_43CC5B824BF9_.wvu.PrintTitles" localSheetId="18" hidden="1">#REF!</definedName>
    <definedName name="Z_9FE8FF3F_4486_44D6_9AFB_43CC5B824BF9_.wvu.PrintTitles" localSheetId="9" hidden="1">#REF!</definedName>
    <definedName name="Z_9FE8FF3F_4486_44D6_9AFB_43CC5B824BF9_.wvu.PrintTitles" localSheetId="11" hidden="1">#REF!</definedName>
    <definedName name="Z_9FE8FF3F_4486_44D6_9AFB_43CC5B824BF9_.wvu.PrintTitles" localSheetId="13" hidden="1">#REF!</definedName>
    <definedName name="Z_9FE8FF3F_4486_44D6_9AFB_43CC5B824BF9_.wvu.PrintTitles" localSheetId="20" hidden="1">#REF!</definedName>
    <definedName name="Z_9FE8FF3F_4486_44D6_9AFB_43CC5B824BF9_.wvu.PrintTitles" localSheetId="22" hidden="1">#REF!</definedName>
    <definedName name="Z_9FE8FF3F_4486_44D6_9AFB_43CC5B824BF9_.wvu.PrintTitles" localSheetId="21" hidden="1">#REF!</definedName>
    <definedName name="Z_9FE8FF3F_4486_44D6_9AFB_43CC5B824BF9_.wvu.PrintTitles" hidden="1">#REF!</definedName>
    <definedName name="Z_A3DE26BA_CF48_4654_9BE9_FAEB3C301C95_.wvu.FilterData" localSheetId="14" hidden="1">#REF!</definedName>
    <definedName name="Z_A3DE26BA_CF48_4654_9BE9_FAEB3C301C95_.wvu.FilterData" localSheetId="17" hidden="1">#REF!</definedName>
    <definedName name="Z_A3DE26BA_CF48_4654_9BE9_FAEB3C301C95_.wvu.FilterData" localSheetId="18" hidden="1">#REF!</definedName>
    <definedName name="Z_A3DE26BA_CF48_4654_9BE9_FAEB3C301C95_.wvu.FilterData" localSheetId="9" hidden="1">#REF!</definedName>
    <definedName name="Z_A3DE26BA_CF48_4654_9BE9_FAEB3C301C95_.wvu.FilterData" localSheetId="11" hidden="1">#REF!</definedName>
    <definedName name="Z_A3DE26BA_CF48_4654_9BE9_FAEB3C301C95_.wvu.FilterData" localSheetId="13" hidden="1">#REF!</definedName>
    <definedName name="Z_A3DE26BA_CF48_4654_9BE9_FAEB3C301C95_.wvu.FilterData" localSheetId="20" hidden="1">#REF!</definedName>
    <definedName name="Z_A3DE26BA_CF48_4654_9BE9_FAEB3C301C95_.wvu.FilterData" localSheetId="22" hidden="1">#REF!</definedName>
    <definedName name="Z_A3DE26BA_CF48_4654_9BE9_FAEB3C301C95_.wvu.FilterData" localSheetId="21" hidden="1">#REF!</definedName>
    <definedName name="Z_A3DE26BA_CF48_4654_9BE9_FAEB3C301C95_.wvu.FilterData" hidden="1">#REF!</definedName>
    <definedName name="Z_A3DE26BA_CF48_4654_9BE9_FAEB3C301C95_.wvu.PrintArea" localSheetId="14" hidden="1">#REF!</definedName>
    <definedName name="Z_A3DE26BA_CF48_4654_9BE9_FAEB3C301C95_.wvu.PrintArea" localSheetId="17" hidden="1">#REF!</definedName>
    <definedName name="Z_A3DE26BA_CF48_4654_9BE9_FAEB3C301C95_.wvu.PrintArea" localSheetId="18" hidden="1">#REF!</definedName>
    <definedName name="Z_A3DE26BA_CF48_4654_9BE9_FAEB3C301C95_.wvu.PrintArea" localSheetId="9" hidden="1">#REF!</definedName>
    <definedName name="Z_A3DE26BA_CF48_4654_9BE9_FAEB3C301C95_.wvu.PrintArea" localSheetId="11" hidden="1">#REF!</definedName>
    <definedName name="Z_A3DE26BA_CF48_4654_9BE9_FAEB3C301C95_.wvu.PrintArea" localSheetId="13" hidden="1">#REF!</definedName>
    <definedName name="Z_A3DE26BA_CF48_4654_9BE9_FAEB3C301C95_.wvu.PrintArea" localSheetId="20" hidden="1">#REF!</definedName>
    <definedName name="Z_A3DE26BA_CF48_4654_9BE9_FAEB3C301C95_.wvu.PrintArea" localSheetId="22" hidden="1">#REF!</definedName>
    <definedName name="Z_A3DE26BA_CF48_4654_9BE9_FAEB3C301C95_.wvu.PrintArea" localSheetId="21" hidden="1">#REF!</definedName>
    <definedName name="Z_A3DE26BA_CF48_4654_9BE9_FAEB3C301C95_.wvu.PrintArea" hidden="1">#REF!</definedName>
    <definedName name="Z_A3DE26BA_CF48_4654_9BE9_FAEB3C301C95_.wvu.PrintTitles" localSheetId="14" hidden="1">#REF!</definedName>
    <definedName name="Z_A3DE26BA_CF48_4654_9BE9_FAEB3C301C95_.wvu.PrintTitles" localSheetId="17" hidden="1">#REF!</definedName>
    <definedName name="Z_A3DE26BA_CF48_4654_9BE9_FAEB3C301C95_.wvu.PrintTitles" localSheetId="18" hidden="1">#REF!</definedName>
    <definedName name="Z_A3DE26BA_CF48_4654_9BE9_FAEB3C301C95_.wvu.PrintTitles" localSheetId="9" hidden="1">#REF!</definedName>
    <definedName name="Z_A3DE26BA_CF48_4654_9BE9_FAEB3C301C95_.wvu.PrintTitles" localSheetId="11" hidden="1">#REF!</definedName>
    <definedName name="Z_A3DE26BA_CF48_4654_9BE9_FAEB3C301C95_.wvu.PrintTitles" localSheetId="13" hidden="1">#REF!</definedName>
    <definedName name="Z_A3DE26BA_CF48_4654_9BE9_FAEB3C301C95_.wvu.PrintTitles" localSheetId="20" hidden="1">#REF!</definedName>
    <definedName name="Z_A3DE26BA_CF48_4654_9BE9_FAEB3C301C95_.wvu.PrintTitles" localSheetId="22" hidden="1">#REF!</definedName>
    <definedName name="Z_A3DE26BA_CF48_4654_9BE9_FAEB3C301C95_.wvu.PrintTitles" localSheetId="21" hidden="1">#REF!</definedName>
    <definedName name="Z_A3DE26BA_CF48_4654_9BE9_FAEB3C301C95_.wvu.PrintTitles" hidden="1">#REF!</definedName>
    <definedName name="Z_AAA1DD33_F1E3_423A_B1F2_E8567F4D95A5_.wvu.FilterData" localSheetId="14" hidden="1">#REF!</definedName>
    <definedName name="Z_AAA1DD33_F1E3_423A_B1F2_E8567F4D95A5_.wvu.FilterData" localSheetId="17" hidden="1">#REF!</definedName>
    <definedName name="Z_AAA1DD33_F1E3_423A_B1F2_E8567F4D95A5_.wvu.FilterData" localSheetId="18" hidden="1">#REF!</definedName>
    <definedName name="Z_AAA1DD33_F1E3_423A_B1F2_E8567F4D95A5_.wvu.FilterData" localSheetId="9" hidden="1">#REF!</definedName>
    <definedName name="Z_AAA1DD33_F1E3_423A_B1F2_E8567F4D95A5_.wvu.FilterData" localSheetId="11" hidden="1">#REF!</definedName>
    <definedName name="Z_AAA1DD33_F1E3_423A_B1F2_E8567F4D95A5_.wvu.FilterData" localSheetId="13" hidden="1">#REF!</definedName>
    <definedName name="Z_AAA1DD33_F1E3_423A_B1F2_E8567F4D95A5_.wvu.FilterData" localSheetId="20" hidden="1">#REF!</definedName>
    <definedName name="Z_AAA1DD33_F1E3_423A_B1F2_E8567F4D95A5_.wvu.FilterData" localSheetId="22" hidden="1">#REF!</definedName>
    <definedName name="Z_AAA1DD33_F1E3_423A_B1F2_E8567F4D95A5_.wvu.FilterData" localSheetId="21" hidden="1">#REF!</definedName>
    <definedName name="Z_AAA1DD33_F1E3_423A_B1F2_E8567F4D95A5_.wvu.FilterData" hidden="1">#REF!</definedName>
    <definedName name="Z_AAA1DD33_F1E3_423A_B1F2_E8567F4D95A5_.wvu.PrintArea" localSheetId="14" hidden="1">#REF!</definedName>
    <definedName name="Z_AAA1DD33_F1E3_423A_B1F2_E8567F4D95A5_.wvu.PrintArea" localSheetId="17" hidden="1">#REF!</definedName>
    <definedName name="Z_AAA1DD33_F1E3_423A_B1F2_E8567F4D95A5_.wvu.PrintArea" localSheetId="18" hidden="1">#REF!</definedName>
    <definedName name="Z_AAA1DD33_F1E3_423A_B1F2_E8567F4D95A5_.wvu.PrintArea" localSheetId="9" hidden="1">#REF!</definedName>
    <definedName name="Z_AAA1DD33_F1E3_423A_B1F2_E8567F4D95A5_.wvu.PrintArea" localSheetId="11" hidden="1">#REF!</definedName>
    <definedName name="Z_AAA1DD33_F1E3_423A_B1F2_E8567F4D95A5_.wvu.PrintArea" localSheetId="13" hidden="1">#REF!</definedName>
    <definedName name="Z_AAA1DD33_F1E3_423A_B1F2_E8567F4D95A5_.wvu.PrintArea" localSheetId="20" hidden="1">#REF!</definedName>
    <definedName name="Z_AAA1DD33_F1E3_423A_B1F2_E8567F4D95A5_.wvu.PrintArea" localSheetId="22" hidden="1">#REF!</definedName>
    <definedName name="Z_AAA1DD33_F1E3_423A_B1F2_E8567F4D95A5_.wvu.PrintArea" localSheetId="21" hidden="1">#REF!</definedName>
    <definedName name="Z_AAA1DD33_F1E3_423A_B1F2_E8567F4D95A5_.wvu.PrintArea" hidden="1">#REF!</definedName>
    <definedName name="Z_AAA1DD33_F1E3_423A_B1F2_E8567F4D95A5_.wvu.PrintTitles" localSheetId="14" hidden="1">#REF!</definedName>
    <definedName name="Z_AAA1DD33_F1E3_423A_B1F2_E8567F4D95A5_.wvu.PrintTitles" localSheetId="17" hidden="1">#REF!</definedName>
    <definedName name="Z_AAA1DD33_F1E3_423A_B1F2_E8567F4D95A5_.wvu.PrintTitles" localSheetId="18" hidden="1">#REF!</definedName>
    <definedName name="Z_AAA1DD33_F1E3_423A_B1F2_E8567F4D95A5_.wvu.PrintTitles" localSheetId="9" hidden="1">#REF!</definedName>
    <definedName name="Z_AAA1DD33_F1E3_423A_B1F2_E8567F4D95A5_.wvu.PrintTitles" localSheetId="11" hidden="1">#REF!</definedName>
    <definedName name="Z_AAA1DD33_F1E3_423A_B1F2_E8567F4D95A5_.wvu.PrintTitles" localSheetId="13" hidden="1">#REF!</definedName>
    <definedName name="Z_AAA1DD33_F1E3_423A_B1F2_E8567F4D95A5_.wvu.PrintTitles" localSheetId="20" hidden="1">#REF!</definedName>
    <definedName name="Z_AAA1DD33_F1E3_423A_B1F2_E8567F4D95A5_.wvu.PrintTitles" localSheetId="22" hidden="1">#REF!</definedName>
    <definedName name="Z_AAA1DD33_F1E3_423A_B1F2_E8567F4D95A5_.wvu.PrintTitles" localSheetId="21" hidden="1">#REF!</definedName>
    <definedName name="Z_AAA1DD33_F1E3_423A_B1F2_E8567F4D95A5_.wvu.PrintTitles" hidden="1">#REF!</definedName>
    <definedName name="Z_B4899972_EBDC_11DA_B6F6_00609720E0A1_.wvu.FilterData" localSheetId="14" hidden="1">#REF!</definedName>
    <definedName name="Z_B4899972_EBDC_11DA_B6F6_00609720E0A1_.wvu.FilterData" localSheetId="17" hidden="1">#REF!</definedName>
    <definedName name="Z_B4899972_EBDC_11DA_B6F6_00609720E0A1_.wvu.FilterData" localSheetId="18" hidden="1">#REF!</definedName>
    <definedName name="Z_B4899972_EBDC_11DA_B6F6_00609720E0A1_.wvu.FilterData" localSheetId="9" hidden="1">#REF!</definedName>
    <definedName name="Z_B4899972_EBDC_11DA_B6F6_00609720E0A1_.wvu.FilterData" localSheetId="11" hidden="1">#REF!</definedName>
    <definedName name="Z_B4899972_EBDC_11DA_B6F6_00609720E0A1_.wvu.FilterData" localSheetId="13" hidden="1">#REF!</definedName>
    <definedName name="Z_B4899972_EBDC_11DA_B6F6_00609720E0A1_.wvu.FilterData" localSheetId="20" hidden="1">#REF!</definedName>
    <definedName name="Z_B4899972_EBDC_11DA_B6F6_00609720E0A1_.wvu.FilterData" localSheetId="22" hidden="1">#REF!</definedName>
    <definedName name="Z_B4899972_EBDC_11DA_B6F6_00609720E0A1_.wvu.FilterData" localSheetId="21" hidden="1">#REF!</definedName>
    <definedName name="Z_B4899972_EBDC_11DA_B6F6_00609720E0A1_.wvu.FilterData" hidden="1">#REF!</definedName>
    <definedName name="Z_B4899972_EBDC_11DA_B6F6_00609720E0A1_.wvu.PrintArea" localSheetId="14" hidden="1">#REF!</definedName>
    <definedName name="Z_B4899972_EBDC_11DA_B6F6_00609720E0A1_.wvu.PrintArea" localSheetId="17" hidden="1">#REF!</definedName>
    <definedName name="Z_B4899972_EBDC_11DA_B6F6_00609720E0A1_.wvu.PrintArea" localSheetId="18" hidden="1">#REF!</definedName>
    <definedName name="Z_B4899972_EBDC_11DA_B6F6_00609720E0A1_.wvu.PrintArea" localSheetId="9" hidden="1">#REF!</definedName>
    <definedName name="Z_B4899972_EBDC_11DA_B6F6_00609720E0A1_.wvu.PrintArea" localSheetId="11" hidden="1">#REF!</definedName>
    <definedName name="Z_B4899972_EBDC_11DA_B6F6_00609720E0A1_.wvu.PrintArea" localSheetId="13" hidden="1">#REF!</definedName>
    <definedName name="Z_B4899972_EBDC_11DA_B6F6_00609720E0A1_.wvu.PrintArea" localSheetId="20" hidden="1">#REF!</definedName>
    <definedName name="Z_B4899972_EBDC_11DA_B6F6_00609720E0A1_.wvu.PrintArea" localSheetId="22" hidden="1">#REF!</definedName>
    <definedName name="Z_B4899972_EBDC_11DA_B6F6_00609720E0A1_.wvu.PrintArea" localSheetId="21" hidden="1">#REF!</definedName>
    <definedName name="Z_B4899972_EBDC_11DA_B6F6_00609720E0A1_.wvu.PrintArea" hidden="1">#REF!</definedName>
    <definedName name="Z_B4899972_EBDC_11DA_B6F6_00609720E0A1_.wvu.PrintTitles" localSheetId="14" hidden="1">#REF!</definedName>
    <definedName name="Z_B4899972_EBDC_11DA_B6F6_00609720E0A1_.wvu.PrintTitles" localSheetId="17" hidden="1">#REF!</definedName>
    <definedName name="Z_B4899972_EBDC_11DA_B6F6_00609720E0A1_.wvu.PrintTitles" localSheetId="18" hidden="1">#REF!</definedName>
    <definedName name="Z_B4899972_EBDC_11DA_B6F6_00609720E0A1_.wvu.PrintTitles" localSheetId="9" hidden="1">#REF!</definedName>
    <definedName name="Z_B4899972_EBDC_11DA_B6F6_00609720E0A1_.wvu.PrintTitles" localSheetId="11" hidden="1">#REF!</definedName>
    <definedName name="Z_B4899972_EBDC_11DA_B6F6_00609720E0A1_.wvu.PrintTitles" localSheetId="13" hidden="1">#REF!</definedName>
    <definedName name="Z_B4899972_EBDC_11DA_B6F6_00609720E0A1_.wvu.PrintTitles" localSheetId="20" hidden="1">#REF!</definedName>
    <definedName name="Z_B4899972_EBDC_11DA_B6F6_00609720E0A1_.wvu.PrintTitles" localSheetId="22" hidden="1">#REF!</definedName>
    <definedName name="Z_B4899972_EBDC_11DA_B6F6_00609720E0A1_.wvu.PrintTitles" localSheetId="21" hidden="1">#REF!</definedName>
    <definedName name="Z_B4899972_EBDC_11DA_B6F6_00609720E0A1_.wvu.PrintTitles" hidden="1">#REF!</definedName>
    <definedName name="Z_B4899973_EBDC_11DA_B6F6_00609720E0A1_.wvu.FilterData" localSheetId="14" hidden="1">#REF!</definedName>
    <definedName name="Z_B4899973_EBDC_11DA_B6F6_00609720E0A1_.wvu.FilterData" localSheetId="17" hidden="1">#REF!</definedName>
    <definedName name="Z_B4899973_EBDC_11DA_B6F6_00609720E0A1_.wvu.FilterData" localSheetId="18" hidden="1">#REF!</definedName>
    <definedName name="Z_B4899973_EBDC_11DA_B6F6_00609720E0A1_.wvu.FilterData" localSheetId="9" hidden="1">#REF!</definedName>
    <definedName name="Z_B4899973_EBDC_11DA_B6F6_00609720E0A1_.wvu.FilterData" localSheetId="11" hidden="1">#REF!</definedName>
    <definedName name="Z_B4899973_EBDC_11DA_B6F6_00609720E0A1_.wvu.FilterData" localSheetId="13" hidden="1">#REF!</definedName>
    <definedName name="Z_B4899973_EBDC_11DA_B6F6_00609720E0A1_.wvu.FilterData" localSheetId="20" hidden="1">#REF!</definedName>
    <definedName name="Z_B4899973_EBDC_11DA_B6F6_00609720E0A1_.wvu.FilterData" localSheetId="22" hidden="1">#REF!</definedName>
    <definedName name="Z_B4899973_EBDC_11DA_B6F6_00609720E0A1_.wvu.FilterData" localSheetId="21" hidden="1">#REF!</definedName>
    <definedName name="Z_B4899973_EBDC_11DA_B6F6_00609720E0A1_.wvu.FilterData" hidden="1">#REF!</definedName>
    <definedName name="Z_B4899973_EBDC_11DA_B6F6_00609720E0A1_.wvu.PrintArea" localSheetId="14" hidden="1">#REF!</definedName>
    <definedName name="Z_B4899973_EBDC_11DA_B6F6_00609720E0A1_.wvu.PrintArea" localSheetId="17" hidden="1">#REF!</definedName>
    <definedName name="Z_B4899973_EBDC_11DA_B6F6_00609720E0A1_.wvu.PrintArea" localSheetId="18" hidden="1">#REF!</definedName>
    <definedName name="Z_B4899973_EBDC_11DA_B6F6_00609720E0A1_.wvu.PrintArea" localSheetId="9" hidden="1">#REF!</definedName>
    <definedName name="Z_B4899973_EBDC_11DA_B6F6_00609720E0A1_.wvu.PrintArea" localSheetId="11" hidden="1">#REF!</definedName>
    <definedName name="Z_B4899973_EBDC_11DA_B6F6_00609720E0A1_.wvu.PrintArea" localSheetId="13" hidden="1">#REF!</definedName>
    <definedName name="Z_B4899973_EBDC_11DA_B6F6_00609720E0A1_.wvu.PrintArea" localSheetId="20" hidden="1">#REF!</definedName>
    <definedName name="Z_B4899973_EBDC_11DA_B6F6_00609720E0A1_.wvu.PrintArea" localSheetId="22" hidden="1">#REF!</definedName>
    <definedName name="Z_B4899973_EBDC_11DA_B6F6_00609720E0A1_.wvu.PrintArea" localSheetId="21" hidden="1">#REF!</definedName>
    <definedName name="Z_B4899973_EBDC_11DA_B6F6_00609720E0A1_.wvu.PrintArea" hidden="1">#REF!</definedName>
    <definedName name="Z_B4899973_EBDC_11DA_B6F6_00609720E0A1_.wvu.PrintTitles" localSheetId="14" hidden="1">#REF!</definedName>
    <definedName name="Z_B4899973_EBDC_11DA_B6F6_00609720E0A1_.wvu.PrintTitles" localSheetId="17" hidden="1">#REF!</definedName>
    <definedName name="Z_B4899973_EBDC_11DA_B6F6_00609720E0A1_.wvu.PrintTitles" localSheetId="18" hidden="1">#REF!</definedName>
    <definedName name="Z_B4899973_EBDC_11DA_B6F6_00609720E0A1_.wvu.PrintTitles" localSheetId="9" hidden="1">#REF!</definedName>
    <definedName name="Z_B4899973_EBDC_11DA_B6F6_00609720E0A1_.wvu.PrintTitles" localSheetId="11" hidden="1">#REF!</definedName>
    <definedName name="Z_B4899973_EBDC_11DA_B6F6_00609720E0A1_.wvu.PrintTitles" localSheetId="13" hidden="1">#REF!</definedName>
    <definedName name="Z_B4899973_EBDC_11DA_B6F6_00609720E0A1_.wvu.PrintTitles" localSheetId="20" hidden="1">#REF!</definedName>
    <definedName name="Z_B4899973_EBDC_11DA_B6F6_00609720E0A1_.wvu.PrintTitles" localSheetId="22" hidden="1">#REF!</definedName>
    <definedName name="Z_B4899973_EBDC_11DA_B6F6_00609720E0A1_.wvu.PrintTitles" localSheetId="21" hidden="1">#REF!</definedName>
    <definedName name="Z_B4899973_EBDC_11DA_B6F6_00609720E0A1_.wvu.PrintTitles" hidden="1">#REF!</definedName>
    <definedName name="Z_B4899974_EBDC_11DA_B6F6_00609720E0A1_.wvu.FilterData" localSheetId="14" hidden="1">#REF!</definedName>
    <definedName name="Z_B4899974_EBDC_11DA_B6F6_00609720E0A1_.wvu.FilterData" localSheetId="17" hidden="1">#REF!</definedName>
    <definedName name="Z_B4899974_EBDC_11DA_B6F6_00609720E0A1_.wvu.FilterData" localSheetId="18" hidden="1">#REF!</definedName>
    <definedName name="Z_B4899974_EBDC_11DA_B6F6_00609720E0A1_.wvu.FilterData" localSheetId="9" hidden="1">#REF!</definedName>
    <definedName name="Z_B4899974_EBDC_11DA_B6F6_00609720E0A1_.wvu.FilterData" localSheetId="11" hidden="1">#REF!</definedName>
    <definedName name="Z_B4899974_EBDC_11DA_B6F6_00609720E0A1_.wvu.FilterData" localSheetId="13" hidden="1">#REF!</definedName>
    <definedName name="Z_B4899974_EBDC_11DA_B6F6_00609720E0A1_.wvu.FilterData" localSheetId="20" hidden="1">#REF!</definedName>
    <definedName name="Z_B4899974_EBDC_11DA_B6F6_00609720E0A1_.wvu.FilterData" localSheetId="22" hidden="1">#REF!</definedName>
    <definedName name="Z_B4899974_EBDC_11DA_B6F6_00609720E0A1_.wvu.FilterData" localSheetId="21" hidden="1">#REF!</definedName>
    <definedName name="Z_B4899974_EBDC_11DA_B6F6_00609720E0A1_.wvu.FilterData" hidden="1">#REF!</definedName>
    <definedName name="Z_B4899974_EBDC_11DA_B6F6_00609720E0A1_.wvu.PrintArea" localSheetId="14" hidden="1">#REF!</definedName>
    <definedName name="Z_B4899974_EBDC_11DA_B6F6_00609720E0A1_.wvu.PrintArea" localSheetId="17" hidden="1">#REF!</definedName>
    <definedName name="Z_B4899974_EBDC_11DA_B6F6_00609720E0A1_.wvu.PrintArea" localSheetId="18" hidden="1">#REF!</definedName>
    <definedName name="Z_B4899974_EBDC_11DA_B6F6_00609720E0A1_.wvu.PrintArea" localSheetId="9" hidden="1">#REF!</definedName>
    <definedName name="Z_B4899974_EBDC_11DA_B6F6_00609720E0A1_.wvu.PrintArea" localSheetId="11" hidden="1">#REF!</definedName>
    <definedName name="Z_B4899974_EBDC_11DA_B6F6_00609720E0A1_.wvu.PrintArea" localSheetId="13" hidden="1">#REF!</definedName>
    <definedName name="Z_B4899974_EBDC_11DA_B6F6_00609720E0A1_.wvu.PrintArea" localSheetId="20" hidden="1">#REF!</definedName>
    <definedName name="Z_B4899974_EBDC_11DA_B6F6_00609720E0A1_.wvu.PrintArea" localSheetId="22" hidden="1">#REF!</definedName>
    <definedName name="Z_B4899974_EBDC_11DA_B6F6_00609720E0A1_.wvu.PrintArea" localSheetId="21" hidden="1">#REF!</definedName>
    <definedName name="Z_B4899974_EBDC_11DA_B6F6_00609720E0A1_.wvu.PrintArea" hidden="1">#REF!</definedName>
    <definedName name="Z_B4899974_EBDC_11DA_B6F6_00609720E0A1_.wvu.PrintTitles" localSheetId="14" hidden="1">#REF!</definedName>
    <definedName name="Z_B4899974_EBDC_11DA_B6F6_00609720E0A1_.wvu.PrintTitles" localSheetId="17" hidden="1">#REF!</definedName>
    <definedName name="Z_B4899974_EBDC_11DA_B6F6_00609720E0A1_.wvu.PrintTitles" localSheetId="18" hidden="1">#REF!</definedName>
    <definedName name="Z_B4899974_EBDC_11DA_B6F6_00609720E0A1_.wvu.PrintTitles" localSheetId="9" hidden="1">#REF!</definedName>
    <definedName name="Z_B4899974_EBDC_11DA_B6F6_00609720E0A1_.wvu.PrintTitles" localSheetId="11" hidden="1">#REF!</definedName>
    <definedName name="Z_B4899974_EBDC_11DA_B6F6_00609720E0A1_.wvu.PrintTitles" localSheetId="13" hidden="1">#REF!</definedName>
    <definedName name="Z_B4899974_EBDC_11DA_B6F6_00609720E0A1_.wvu.PrintTitles" localSheetId="20" hidden="1">#REF!</definedName>
    <definedName name="Z_B4899974_EBDC_11DA_B6F6_00609720E0A1_.wvu.PrintTitles" localSheetId="22" hidden="1">#REF!</definedName>
    <definedName name="Z_B4899974_EBDC_11DA_B6F6_00609720E0A1_.wvu.PrintTitles" localSheetId="21" hidden="1">#REF!</definedName>
    <definedName name="Z_B4899974_EBDC_11DA_B6F6_00609720E0A1_.wvu.PrintTitles" hidden="1">#REF!</definedName>
    <definedName name="Z_B4899975_EBDC_11DA_B6F6_00609720E0A1_.wvu.FilterData" localSheetId="14" hidden="1">#REF!</definedName>
    <definedName name="Z_B4899975_EBDC_11DA_B6F6_00609720E0A1_.wvu.FilterData" localSheetId="17" hidden="1">#REF!</definedName>
    <definedName name="Z_B4899975_EBDC_11DA_B6F6_00609720E0A1_.wvu.FilterData" localSheetId="18" hidden="1">#REF!</definedName>
    <definedName name="Z_B4899975_EBDC_11DA_B6F6_00609720E0A1_.wvu.FilterData" localSheetId="9" hidden="1">#REF!</definedName>
    <definedName name="Z_B4899975_EBDC_11DA_B6F6_00609720E0A1_.wvu.FilterData" localSheetId="11" hidden="1">#REF!</definedName>
    <definedName name="Z_B4899975_EBDC_11DA_B6F6_00609720E0A1_.wvu.FilterData" localSheetId="13" hidden="1">#REF!</definedName>
    <definedName name="Z_B4899975_EBDC_11DA_B6F6_00609720E0A1_.wvu.FilterData" localSheetId="20" hidden="1">#REF!</definedName>
    <definedName name="Z_B4899975_EBDC_11DA_B6F6_00609720E0A1_.wvu.FilterData" localSheetId="22" hidden="1">#REF!</definedName>
    <definedName name="Z_B4899975_EBDC_11DA_B6F6_00609720E0A1_.wvu.FilterData" localSheetId="21" hidden="1">#REF!</definedName>
    <definedName name="Z_B4899975_EBDC_11DA_B6F6_00609720E0A1_.wvu.FilterData" hidden="1">#REF!</definedName>
    <definedName name="Z_B4899975_EBDC_11DA_B6F6_00609720E0A1_.wvu.PrintArea" localSheetId="14" hidden="1">#REF!</definedName>
    <definedName name="Z_B4899975_EBDC_11DA_B6F6_00609720E0A1_.wvu.PrintArea" localSheetId="17" hidden="1">#REF!</definedName>
    <definedName name="Z_B4899975_EBDC_11DA_B6F6_00609720E0A1_.wvu.PrintArea" localSheetId="18" hidden="1">#REF!</definedName>
    <definedName name="Z_B4899975_EBDC_11DA_B6F6_00609720E0A1_.wvu.PrintArea" localSheetId="9" hidden="1">#REF!</definedName>
    <definedName name="Z_B4899975_EBDC_11DA_B6F6_00609720E0A1_.wvu.PrintArea" localSheetId="11" hidden="1">#REF!</definedName>
    <definedName name="Z_B4899975_EBDC_11DA_B6F6_00609720E0A1_.wvu.PrintArea" localSheetId="13" hidden="1">#REF!</definedName>
    <definedName name="Z_B4899975_EBDC_11DA_B6F6_00609720E0A1_.wvu.PrintArea" localSheetId="20" hidden="1">#REF!</definedName>
    <definedName name="Z_B4899975_EBDC_11DA_B6F6_00609720E0A1_.wvu.PrintArea" localSheetId="22" hidden="1">#REF!</definedName>
    <definedName name="Z_B4899975_EBDC_11DA_B6F6_00609720E0A1_.wvu.PrintArea" localSheetId="21" hidden="1">#REF!</definedName>
    <definedName name="Z_B4899975_EBDC_11DA_B6F6_00609720E0A1_.wvu.PrintArea" hidden="1">#REF!</definedName>
    <definedName name="Z_B4899975_EBDC_11DA_B6F6_00609720E0A1_.wvu.PrintTitles" localSheetId="14" hidden="1">#REF!</definedName>
    <definedName name="Z_B4899975_EBDC_11DA_B6F6_00609720E0A1_.wvu.PrintTitles" localSheetId="17" hidden="1">#REF!</definedName>
    <definedName name="Z_B4899975_EBDC_11DA_B6F6_00609720E0A1_.wvu.PrintTitles" localSheetId="18" hidden="1">#REF!</definedName>
    <definedName name="Z_B4899975_EBDC_11DA_B6F6_00609720E0A1_.wvu.PrintTitles" localSheetId="9" hidden="1">#REF!</definedName>
    <definedName name="Z_B4899975_EBDC_11DA_B6F6_00609720E0A1_.wvu.PrintTitles" localSheetId="11" hidden="1">#REF!</definedName>
    <definedName name="Z_B4899975_EBDC_11DA_B6F6_00609720E0A1_.wvu.PrintTitles" localSheetId="13" hidden="1">#REF!</definedName>
    <definedName name="Z_B4899975_EBDC_11DA_B6F6_00609720E0A1_.wvu.PrintTitles" localSheetId="20" hidden="1">#REF!</definedName>
    <definedName name="Z_B4899975_EBDC_11DA_B6F6_00609720E0A1_.wvu.PrintTitles" localSheetId="22" hidden="1">#REF!</definedName>
    <definedName name="Z_B4899975_EBDC_11DA_B6F6_00609720E0A1_.wvu.PrintTitles" localSheetId="21" hidden="1">#REF!</definedName>
    <definedName name="Z_B4899975_EBDC_11DA_B6F6_00609720E0A1_.wvu.PrintTitles" hidden="1">#REF!</definedName>
    <definedName name="Z_B4899976_EBDC_11DA_B6F6_00609720E0A1_.wvu.FilterData" localSheetId="14" hidden="1">#REF!</definedName>
    <definedName name="Z_B4899976_EBDC_11DA_B6F6_00609720E0A1_.wvu.FilterData" localSheetId="17" hidden="1">#REF!</definedName>
    <definedName name="Z_B4899976_EBDC_11DA_B6F6_00609720E0A1_.wvu.FilterData" localSheetId="18" hidden="1">#REF!</definedName>
    <definedName name="Z_B4899976_EBDC_11DA_B6F6_00609720E0A1_.wvu.FilterData" localSheetId="9" hidden="1">#REF!</definedName>
    <definedName name="Z_B4899976_EBDC_11DA_B6F6_00609720E0A1_.wvu.FilterData" localSheetId="11" hidden="1">#REF!</definedName>
    <definedName name="Z_B4899976_EBDC_11DA_B6F6_00609720E0A1_.wvu.FilterData" localSheetId="13" hidden="1">#REF!</definedName>
    <definedName name="Z_B4899976_EBDC_11DA_B6F6_00609720E0A1_.wvu.FilterData" localSheetId="20" hidden="1">#REF!</definedName>
    <definedName name="Z_B4899976_EBDC_11DA_B6F6_00609720E0A1_.wvu.FilterData" localSheetId="22" hidden="1">#REF!</definedName>
    <definedName name="Z_B4899976_EBDC_11DA_B6F6_00609720E0A1_.wvu.FilterData" localSheetId="21" hidden="1">#REF!</definedName>
    <definedName name="Z_B4899976_EBDC_11DA_B6F6_00609720E0A1_.wvu.FilterData" hidden="1">#REF!</definedName>
    <definedName name="Z_B4899976_EBDC_11DA_B6F6_00609720E0A1_.wvu.PrintArea" localSheetId="14" hidden="1">#REF!</definedName>
    <definedName name="Z_B4899976_EBDC_11DA_B6F6_00609720E0A1_.wvu.PrintArea" localSheetId="17" hidden="1">#REF!</definedName>
    <definedName name="Z_B4899976_EBDC_11DA_B6F6_00609720E0A1_.wvu.PrintArea" localSheetId="18" hidden="1">#REF!</definedName>
    <definedName name="Z_B4899976_EBDC_11DA_B6F6_00609720E0A1_.wvu.PrintArea" localSheetId="9" hidden="1">#REF!</definedName>
    <definedName name="Z_B4899976_EBDC_11DA_B6F6_00609720E0A1_.wvu.PrintArea" localSheetId="11" hidden="1">#REF!</definedName>
    <definedName name="Z_B4899976_EBDC_11DA_B6F6_00609720E0A1_.wvu.PrintArea" localSheetId="13" hidden="1">#REF!</definedName>
    <definedName name="Z_B4899976_EBDC_11DA_B6F6_00609720E0A1_.wvu.PrintArea" localSheetId="20" hidden="1">#REF!</definedName>
    <definedName name="Z_B4899976_EBDC_11DA_B6F6_00609720E0A1_.wvu.PrintArea" localSheetId="22" hidden="1">#REF!</definedName>
    <definedName name="Z_B4899976_EBDC_11DA_B6F6_00609720E0A1_.wvu.PrintArea" localSheetId="21" hidden="1">#REF!</definedName>
    <definedName name="Z_B4899976_EBDC_11DA_B6F6_00609720E0A1_.wvu.PrintArea" hidden="1">#REF!</definedName>
    <definedName name="Z_B4899976_EBDC_11DA_B6F6_00609720E0A1_.wvu.PrintTitles" localSheetId="14" hidden="1">#REF!</definedName>
    <definedName name="Z_B4899976_EBDC_11DA_B6F6_00609720E0A1_.wvu.PrintTitles" localSheetId="17" hidden="1">#REF!</definedName>
    <definedName name="Z_B4899976_EBDC_11DA_B6F6_00609720E0A1_.wvu.PrintTitles" localSheetId="18" hidden="1">#REF!</definedName>
    <definedName name="Z_B4899976_EBDC_11DA_B6F6_00609720E0A1_.wvu.PrintTitles" localSheetId="9" hidden="1">#REF!</definedName>
    <definedName name="Z_B4899976_EBDC_11DA_B6F6_00609720E0A1_.wvu.PrintTitles" localSheetId="11" hidden="1">#REF!</definedName>
    <definedName name="Z_B4899976_EBDC_11DA_B6F6_00609720E0A1_.wvu.PrintTitles" localSheetId="13" hidden="1">#REF!</definedName>
    <definedName name="Z_B4899976_EBDC_11DA_B6F6_00609720E0A1_.wvu.PrintTitles" localSheetId="20" hidden="1">#REF!</definedName>
    <definedName name="Z_B4899976_EBDC_11DA_B6F6_00609720E0A1_.wvu.PrintTitles" localSheetId="22" hidden="1">#REF!</definedName>
    <definedName name="Z_B4899976_EBDC_11DA_B6F6_00609720E0A1_.wvu.PrintTitles" localSheetId="21" hidden="1">#REF!</definedName>
    <definedName name="Z_B4899976_EBDC_11DA_B6F6_00609720E0A1_.wvu.PrintTitles" hidden="1">#REF!</definedName>
    <definedName name="Z_C24E6469_C4CC_430B_8814_72DD019DF2C8_.wvu.FilterData" localSheetId="14" hidden="1">#REF!</definedName>
    <definedName name="Z_C24E6469_C4CC_430B_8814_72DD019DF2C8_.wvu.FilterData" localSheetId="17" hidden="1">#REF!</definedName>
    <definedName name="Z_C24E6469_C4CC_430B_8814_72DD019DF2C8_.wvu.FilterData" localSheetId="18" hidden="1">#REF!</definedName>
    <definedName name="Z_C24E6469_C4CC_430B_8814_72DD019DF2C8_.wvu.FilterData" localSheetId="9" hidden="1">#REF!</definedName>
    <definedName name="Z_C24E6469_C4CC_430B_8814_72DD019DF2C8_.wvu.FilterData" localSheetId="11" hidden="1">#REF!</definedName>
    <definedName name="Z_C24E6469_C4CC_430B_8814_72DD019DF2C8_.wvu.FilterData" localSheetId="13" hidden="1">#REF!</definedName>
    <definedName name="Z_C24E6469_C4CC_430B_8814_72DD019DF2C8_.wvu.FilterData" localSheetId="20" hidden="1">#REF!</definedName>
    <definedName name="Z_C24E6469_C4CC_430B_8814_72DD019DF2C8_.wvu.FilterData" localSheetId="22" hidden="1">#REF!</definedName>
    <definedName name="Z_C24E6469_C4CC_430B_8814_72DD019DF2C8_.wvu.FilterData" localSheetId="21" hidden="1">#REF!</definedName>
    <definedName name="Z_C24E6469_C4CC_430B_8814_72DD019DF2C8_.wvu.FilterData" hidden="1">#REF!</definedName>
    <definedName name="Z_C24E6469_C4CC_430B_8814_72DD019DF2C8_.wvu.PrintArea" localSheetId="14" hidden="1">#REF!</definedName>
    <definedName name="Z_C24E6469_C4CC_430B_8814_72DD019DF2C8_.wvu.PrintArea" localSheetId="17" hidden="1">#REF!</definedName>
    <definedName name="Z_C24E6469_C4CC_430B_8814_72DD019DF2C8_.wvu.PrintArea" localSheetId="18" hidden="1">#REF!</definedName>
    <definedName name="Z_C24E6469_C4CC_430B_8814_72DD019DF2C8_.wvu.PrintArea" localSheetId="9" hidden="1">#REF!</definedName>
    <definedName name="Z_C24E6469_C4CC_430B_8814_72DD019DF2C8_.wvu.PrintArea" localSheetId="11" hidden="1">#REF!</definedName>
    <definedName name="Z_C24E6469_C4CC_430B_8814_72DD019DF2C8_.wvu.PrintArea" localSheetId="13" hidden="1">#REF!</definedName>
    <definedName name="Z_C24E6469_C4CC_430B_8814_72DD019DF2C8_.wvu.PrintArea" localSheetId="20" hidden="1">#REF!</definedName>
    <definedName name="Z_C24E6469_C4CC_430B_8814_72DD019DF2C8_.wvu.PrintArea" localSheetId="22" hidden="1">#REF!</definedName>
    <definedName name="Z_C24E6469_C4CC_430B_8814_72DD019DF2C8_.wvu.PrintArea" localSheetId="21" hidden="1">#REF!</definedName>
    <definedName name="Z_C24E6469_C4CC_430B_8814_72DD019DF2C8_.wvu.PrintArea" hidden="1">#REF!</definedName>
    <definedName name="Z_C24E6469_C4CC_430B_8814_72DD019DF2C8_.wvu.PrintTitles" localSheetId="14" hidden="1">#REF!</definedName>
    <definedName name="Z_C24E6469_C4CC_430B_8814_72DD019DF2C8_.wvu.PrintTitles" localSheetId="17" hidden="1">#REF!</definedName>
    <definedName name="Z_C24E6469_C4CC_430B_8814_72DD019DF2C8_.wvu.PrintTitles" localSheetId="18" hidden="1">#REF!</definedName>
    <definedName name="Z_C24E6469_C4CC_430B_8814_72DD019DF2C8_.wvu.PrintTitles" localSheetId="9" hidden="1">#REF!</definedName>
    <definedName name="Z_C24E6469_C4CC_430B_8814_72DD019DF2C8_.wvu.PrintTitles" localSheetId="11" hidden="1">#REF!</definedName>
    <definedName name="Z_C24E6469_C4CC_430B_8814_72DD019DF2C8_.wvu.PrintTitles" localSheetId="13" hidden="1">#REF!</definedName>
    <definedName name="Z_C24E6469_C4CC_430B_8814_72DD019DF2C8_.wvu.PrintTitles" localSheetId="20" hidden="1">#REF!</definedName>
    <definedName name="Z_C24E6469_C4CC_430B_8814_72DD019DF2C8_.wvu.PrintTitles" localSheetId="22" hidden="1">#REF!</definedName>
    <definedName name="Z_C24E6469_C4CC_430B_8814_72DD019DF2C8_.wvu.PrintTitles" localSheetId="21" hidden="1">#REF!</definedName>
    <definedName name="Z_C24E6469_C4CC_430B_8814_72DD019DF2C8_.wvu.PrintTitles" hidden="1">#REF!</definedName>
    <definedName name="Z_CA61CA57_E7CE_4A4D_974A_F3124BCA2797_.wvu.FilterData" localSheetId="14" hidden="1">#REF!</definedName>
    <definedName name="Z_CA61CA57_E7CE_4A4D_974A_F3124BCA2797_.wvu.FilterData" localSheetId="17" hidden="1">#REF!</definedName>
    <definedName name="Z_CA61CA57_E7CE_4A4D_974A_F3124BCA2797_.wvu.FilterData" localSheetId="18" hidden="1">#REF!</definedName>
    <definedName name="Z_CA61CA57_E7CE_4A4D_974A_F3124BCA2797_.wvu.FilterData" localSheetId="9" hidden="1">#REF!</definedName>
    <definedName name="Z_CA61CA57_E7CE_4A4D_974A_F3124BCA2797_.wvu.FilterData" localSheetId="11" hidden="1">#REF!</definedName>
    <definedName name="Z_CA61CA57_E7CE_4A4D_974A_F3124BCA2797_.wvu.FilterData" localSheetId="13" hidden="1">#REF!</definedName>
    <definedName name="Z_CA61CA57_E7CE_4A4D_974A_F3124BCA2797_.wvu.FilterData" localSheetId="20" hidden="1">#REF!</definedName>
    <definedName name="Z_CA61CA57_E7CE_4A4D_974A_F3124BCA2797_.wvu.FilterData" localSheetId="22" hidden="1">#REF!</definedName>
    <definedName name="Z_CA61CA57_E7CE_4A4D_974A_F3124BCA2797_.wvu.FilterData" localSheetId="21" hidden="1">#REF!</definedName>
    <definedName name="Z_CA61CA57_E7CE_4A4D_974A_F3124BCA2797_.wvu.FilterData" hidden="1">#REF!</definedName>
    <definedName name="Z_CA61CA57_E7CE_4A4D_974A_F3124BCA2797_.wvu.PrintArea" localSheetId="14" hidden="1">#REF!</definedName>
    <definedName name="Z_CA61CA57_E7CE_4A4D_974A_F3124BCA2797_.wvu.PrintArea" localSheetId="17" hidden="1">#REF!</definedName>
    <definedName name="Z_CA61CA57_E7CE_4A4D_974A_F3124BCA2797_.wvu.PrintArea" localSheetId="18" hidden="1">#REF!</definedName>
    <definedName name="Z_CA61CA57_E7CE_4A4D_974A_F3124BCA2797_.wvu.PrintArea" localSheetId="9" hidden="1">#REF!</definedName>
    <definedName name="Z_CA61CA57_E7CE_4A4D_974A_F3124BCA2797_.wvu.PrintArea" localSheetId="11" hidden="1">#REF!</definedName>
    <definedName name="Z_CA61CA57_E7CE_4A4D_974A_F3124BCA2797_.wvu.PrintArea" localSheetId="13" hidden="1">#REF!</definedName>
    <definedName name="Z_CA61CA57_E7CE_4A4D_974A_F3124BCA2797_.wvu.PrintArea" localSheetId="20" hidden="1">#REF!</definedName>
    <definedName name="Z_CA61CA57_E7CE_4A4D_974A_F3124BCA2797_.wvu.PrintArea" localSheetId="22" hidden="1">#REF!</definedName>
    <definedName name="Z_CA61CA57_E7CE_4A4D_974A_F3124BCA2797_.wvu.PrintArea" localSheetId="21" hidden="1">#REF!</definedName>
    <definedName name="Z_CA61CA57_E7CE_4A4D_974A_F3124BCA2797_.wvu.PrintArea" hidden="1">#REF!</definedName>
    <definedName name="Z_CA61CA57_E7CE_4A4D_974A_F3124BCA2797_.wvu.PrintTitles" localSheetId="14" hidden="1">#REF!</definedName>
    <definedName name="Z_CA61CA57_E7CE_4A4D_974A_F3124BCA2797_.wvu.PrintTitles" localSheetId="17" hidden="1">#REF!</definedName>
    <definedName name="Z_CA61CA57_E7CE_4A4D_974A_F3124BCA2797_.wvu.PrintTitles" localSheetId="18" hidden="1">#REF!</definedName>
    <definedName name="Z_CA61CA57_E7CE_4A4D_974A_F3124BCA2797_.wvu.PrintTitles" localSheetId="9" hidden="1">#REF!</definedName>
    <definedName name="Z_CA61CA57_E7CE_4A4D_974A_F3124BCA2797_.wvu.PrintTitles" localSheetId="11" hidden="1">#REF!</definedName>
    <definedName name="Z_CA61CA57_E7CE_4A4D_974A_F3124BCA2797_.wvu.PrintTitles" localSheetId="13" hidden="1">#REF!</definedName>
    <definedName name="Z_CA61CA57_E7CE_4A4D_974A_F3124BCA2797_.wvu.PrintTitles" localSheetId="20" hidden="1">#REF!</definedName>
    <definedName name="Z_CA61CA57_E7CE_4A4D_974A_F3124BCA2797_.wvu.PrintTitles" localSheetId="22" hidden="1">#REF!</definedName>
    <definedName name="Z_CA61CA57_E7CE_4A4D_974A_F3124BCA2797_.wvu.PrintTitles" localSheetId="21" hidden="1">#REF!</definedName>
    <definedName name="Z_CA61CA57_E7CE_4A4D_974A_F3124BCA2797_.wvu.PrintTitles" hidden="1">#REF!</definedName>
    <definedName name="Z_D55C8B2E_861A_459E_9D09_3AF38A1DE99E_.wvu.Rows" hidden="1">#REF!</definedName>
    <definedName name="Z_DA4D5A8F_12FA_42F5_A8BB_526600E97433_.wvu.FilterData" localSheetId="14" hidden="1">#REF!</definedName>
    <definedName name="Z_DA4D5A8F_12FA_42F5_A8BB_526600E97433_.wvu.FilterData" localSheetId="17" hidden="1">#REF!</definedName>
    <definedName name="Z_DA4D5A8F_12FA_42F5_A8BB_526600E97433_.wvu.FilterData" localSheetId="18" hidden="1">#REF!</definedName>
    <definedName name="Z_DA4D5A8F_12FA_42F5_A8BB_526600E97433_.wvu.FilterData" localSheetId="9" hidden="1">#REF!</definedName>
    <definedName name="Z_DA4D5A8F_12FA_42F5_A8BB_526600E97433_.wvu.FilterData" localSheetId="11" hidden="1">#REF!</definedName>
    <definedName name="Z_DA4D5A8F_12FA_42F5_A8BB_526600E97433_.wvu.FilterData" localSheetId="13" hidden="1">#REF!</definedName>
    <definedName name="Z_DA4D5A8F_12FA_42F5_A8BB_526600E97433_.wvu.FilterData" localSheetId="20" hidden="1">#REF!</definedName>
    <definedName name="Z_DA4D5A8F_12FA_42F5_A8BB_526600E97433_.wvu.FilterData" localSheetId="22" hidden="1">#REF!</definedName>
    <definedName name="Z_DA4D5A8F_12FA_42F5_A8BB_526600E97433_.wvu.FilterData" localSheetId="21" hidden="1">#REF!</definedName>
    <definedName name="Z_DA4D5A8F_12FA_42F5_A8BB_526600E97433_.wvu.FilterData" hidden="1">#REF!</definedName>
    <definedName name="Z_DA4D5A8F_12FA_42F5_A8BB_526600E97433_.wvu.PrintArea" localSheetId="14" hidden="1">#REF!</definedName>
    <definedName name="Z_DA4D5A8F_12FA_42F5_A8BB_526600E97433_.wvu.PrintArea" localSheetId="17" hidden="1">#REF!</definedName>
    <definedName name="Z_DA4D5A8F_12FA_42F5_A8BB_526600E97433_.wvu.PrintArea" localSheetId="18" hidden="1">#REF!</definedName>
    <definedName name="Z_DA4D5A8F_12FA_42F5_A8BB_526600E97433_.wvu.PrintArea" localSheetId="9" hidden="1">#REF!</definedName>
    <definedName name="Z_DA4D5A8F_12FA_42F5_A8BB_526600E97433_.wvu.PrintArea" localSheetId="11" hidden="1">#REF!</definedName>
    <definedName name="Z_DA4D5A8F_12FA_42F5_A8BB_526600E97433_.wvu.PrintArea" localSheetId="13" hidden="1">#REF!</definedName>
    <definedName name="Z_DA4D5A8F_12FA_42F5_A8BB_526600E97433_.wvu.PrintArea" localSheetId="20" hidden="1">#REF!</definedName>
    <definedName name="Z_DA4D5A8F_12FA_42F5_A8BB_526600E97433_.wvu.PrintArea" localSheetId="22" hidden="1">#REF!</definedName>
    <definedName name="Z_DA4D5A8F_12FA_42F5_A8BB_526600E97433_.wvu.PrintArea" localSheetId="21" hidden="1">#REF!</definedName>
    <definedName name="Z_DA4D5A8F_12FA_42F5_A8BB_526600E97433_.wvu.PrintArea" hidden="1">#REF!</definedName>
    <definedName name="Z_DA4D5A8F_12FA_42F5_A8BB_526600E97433_.wvu.PrintTitles" localSheetId="14" hidden="1">#REF!</definedName>
    <definedName name="Z_DA4D5A8F_12FA_42F5_A8BB_526600E97433_.wvu.PrintTitles" localSheetId="17" hidden="1">#REF!</definedName>
    <definedName name="Z_DA4D5A8F_12FA_42F5_A8BB_526600E97433_.wvu.PrintTitles" localSheetId="18" hidden="1">#REF!</definedName>
    <definedName name="Z_DA4D5A8F_12FA_42F5_A8BB_526600E97433_.wvu.PrintTitles" localSheetId="9" hidden="1">#REF!</definedName>
    <definedName name="Z_DA4D5A8F_12FA_42F5_A8BB_526600E97433_.wvu.PrintTitles" localSheetId="11" hidden="1">#REF!</definedName>
    <definedName name="Z_DA4D5A8F_12FA_42F5_A8BB_526600E97433_.wvu.PrintTitles" localSheetId="13" hidden="1">#REF!</definedName>
    <definedName name="Z_DA4D5A8F_12FA_42F5_A8BB_526600E97433_.wvu.PrintTitles" localSheetId="20" hidden="1">#REF!</definedName>
    <definedName name="Z_DA4D5A8F_12FA_42F5_A8BB_526600E97433_.wvu.PrintTitles" localSheetId="22" hidden="1">#REF!</definedName>
    <definedName name="Z_DA4D5A8F_12FA_42F5_A8BB_526600E97433_.wvu.PrintTitles" localSheetId="21" hidden="1">#REF!</definedName>
    <definedName name="Z_DA4D5A8F_12FA_42F5_A8BB_526600E97433_.wvu.PrintTitles" hidden="1">#REF!</definedName>
    <definedName name="Z_DFB4C5EB_A8D3_475E_B627_EA98F95F9220_.wvu.FilterData" localSheetId="14" hidden="1">#REF!</definedName>
    <definedName name="Z_DFB4C5EB_A8D3_475E_B627_EA98F95F9220_.wvu.FilterData" localSheetId="17" hidden="1">#REF!</definedName>
    <definedName name="Z_DFB4C5EB_A8D3_475E_B627_EA98F95F9220_.wvu.FilterData" localSheetId="18" hidden="1">#REF!</definedName>
    <definedName name="Z_DFB4C5EB_A8D3_475E_B627_EA98F95F9220_.wvu.FilterData" localSheetId="9" hidden="1">#REF!</definedName>
    <definedName name="Z_DFB4C5EB_A8D3_475E_B627_EA98F95F9220_.wvu.FilterData" localSheetId="11" hidden="1">#REF!</definedName>
    <definedName name="Z_DFB4C5EB_A8D3_475E_B627_EA98F95F9220_.wvu.FilterData" localSheetId="13" hidden="1">#REF!</definedName>
    <definedName name="Z_DFB4C5EB_A8D3_475E_B627_EA98F95F9220_.wvu.FilterData" localSheetId="20" hidden="1">#REF!</definedName>
    <definedName name="Z_DFB4C5EB_A8D3_475E_B627_EA98F95F9220_.wvu.FilterData" localSheetId="22" hidden="1">#REF!</definedName>
    <definedName name="Z_DFB4C5EB_A8D3_475E_B627_EA98F95F9220_.wvu.FilterData" localSheetId="21" hidden="1">#REF!</definedName>
    <definedName name="Z_DFB4C5EB_A8D3_475E_B627_EA98F95F9220_.wvu.FilterData" hidden="1">#REF!</definedName>
    <definedName name="Z_DFB4C5EB_A8D3_475E_B627_EA98F95F9220_.wvu.PrintArea" localSheetId="14" hidden="1">#REF!</definedName>
    <definedName name="Z_DFB4C5EB_A8D3_475E_B627_EA98F95F9220_.wvu.PrintArea" localSheetId="17" hidden="1">#REF!</definedName>
    <definedName name="Z_DFB4C5EB_A8D3_475E_B627_EA98F95F9220_.wvu.PrintArea" localSheetId="18" hidden="1">#REF!</definedName>
    <definedName name="Z_DFB4C5EB_A8D3_475E_B627_EA98F95F9220_.wvu.PrintArea" localSheetId="9" hidden="1">#REF!</definedName>
    <definedName name="Z_DFB4C5EB_A8D3_475E_B627_EA98F95F9220_.wvu.PrintArea" localSheetId="11" hidden="1">#REF!</definedName>
    <definedName name="Z_DFB4C5EB_A8D3_475E_B627_EA98F95F9220_.wvu.PrintArea" localSheetId="13" hidden="1">#REF!</definedName>
    <definedName name="Z_DFB4C5EB_A8D3_475E_B627_EA98F95F9220_.wvu.PrintArea" localSheetId="20" hidden="1">#REF!</definedName>
    <definedName name="Z_DFB4C5EB_A8D3_475E_B627_EA98F95F9220_.wvu.PrintArea" localSheetId="22" hidden="1">#REF!</definedName>
    <definedName name="Z_DFB4C5EB_A8D3_475E_B627_EA98F95F9220_.wvu.PrintArea" localSheetId="21" hidden="1">#REF!</definedName>
    <definedName name="Z_DFB4C5EB_A8D3_475E_B627_EA98F95F9220_.wvu.PrintArea" hidden="1">#REF!</definedName>
    <definedName name="Z_DFB4C5EB_A8D3_475E_B627_EA98F95F9220_.wvu.PrintTitles" localSheetId="14" hidden="1">#REF!</definedName>
    <definedName name="Z_DFB4C5EB_A8D3_475E_B627_EA98F95F9220_.wvu.PrintTitles" localSheetId="17" hidden="1">#REF!</definedName>
    <definedName name="Z_DFB4C5EB_A8D3_475E_B627_EA98F95F9220_.wvu.PrintTitles" localSheetId="18" hidden="1">#REF!</definedName>
    <definedName name="Z_DFB4C5EB_A8D3_475E_B627_EA98F95F9220_.wvu.PrintTitles" localSheetId="9" hidden="1">#REF!</definedName>
    <definedName name="Z_DFB4C5EB_A8D3_475E_B627_EA98F95F9220_.wvu.PrintTitles" localSheetId="11" hidden="1">#REF!</definedName>
    <definedName name="Z_DFB4C5EB_A8D3_475E_B627_EA98F95F9220_.wvu.PrintTitles" localSheetId="13" hidden="1">#REF!</definedName>
    <definedName name="Z_DFB4C5EB_A8D3_475E_B627_EA98F95F9220_.wvu.PrintTitles" localSheetId="20" hidden="1">#REF!</definedName>
    <definedName name="Z_DFB4C5EB_A8D3_475E_B627_EA98F95F9220_.wvu.PrintTitles" localSheetId="22" hidden="1">#REF!</definedName>
    <definedName name="Z_DFB4C5EB_A8D3_475E_B627_EA98F95F9220_.wvu.PrintTitles" localSheetId="21" hidden="1">#REF!</definedName>
    <definedName name="Z_DFB4C5EB_A8D3_475E_B627_EA98F95F9220_.wvu.PrintTitles" hidden="1">#REF!</definedName>
    <definedName name="Z_F2B990A1_57B3_4766_8C3D_4D3A5265BAEF_.wvu.FilterData" localSheetId="14" hidden="1">#REF!</definedName>
    <definedName name="Z_F2B990A1_57B3_4766_8C3D_4D3A5265BAEF_.wvu.FilterData" localSheetId="17" hidden="1">#REF!</definedName>
    <definedName name="Z_F2B990A1_57B3_4766_8C3D_4D3A5265BAEF_.wvu.FilterData" localSheetId="18" hidden="1">#REF!</definedName>
    <definedName name="Z_F2B990A1_57B3_4766_8C3D_4D3A5265BAEF_.wvu.FilterData" localSheetId="9" hidden="1">#REF!</definedName>
    <definedName name="Z_F2B990A1_57B3_4766_8C3D_4D3A5265BAEF_.wvu.FilterData" localSheetId="11" hidden="1">#REF!</definedName>
    <definedName name="Z_F2B990A1_57B3_4766_8C3D_4D3A5265BAEF_.wvu.FilterData" localSheetId="13" hidden="1">#REF!</definedName>
    <definedName name="Z_F2B990A1_57B3_4766_8C3D_4D3A5265BAEF_.wvu.FilterData" localSheetId="20" hidden="1">#REF!</definedName>
    <definedName name="Z_F2B990A1_57B3_4766_8C3D_4D3A5265BAEF_.wvu.FilterData" localSheetId="22" hidden="1">#REF!</definedName>
    <definedName name="Z_F2B990A1_57B3_4766_8C3D_4D3A5265BAEF_.wvu.FilterData" localSheetId="21" hidden="1">#REF!</definedName>
    <definedName name="Z_F2B990A1_57B3_4766_8C3D_4D3A5265BAEF_.wvu.FilterData" hidden="1">#REF!</definedName>
    <definedName name="Z_F2B990A1_57B3_4766_8C3D_4D3A5265BAEF_.wvu.PrintArea" localSheetId="14" hidden="1">#REF!</definedName>
    <definedName name="Z_F2B990A1_57B3_4766_8C3D_4D3A5265BAEF_.wvu.PrintArea" localSheetId="17" hidden="1">#REF!</definedName>
    <definedName name="Z_F2B990A1_57B3_4766_8C3D_4D3A5265BAEF_.wvu.PrintArea" localSheetId="18" hidden="1">#REF!</definedName>
    <definedName name="Z_F2B990A1_57B3_4766_8C3D_4D3A5265BAEF_.wvu.PrintArea" localSheetId="9" hidden="1">#REF!</definedName>
    <definedName name="Z_F2B990A1_57B3_4766_8C3D_4D3A5265BAEF_.wvu.PrintArea" localSheetId="11" hidden="1">#REF!</definedName>
    <definedName name="Z_F2B990A1_57B3_4766_8C3D_4D3A5265BAEF_.wvu.PrintArea" localSheetId="13" hidden="1">#REF!</definedName>
    <definedName name="Z_F2B990A1_57B3_4766_8C3D_4D3A5265BAEF_.wvu.PrintArea" localSheetId="20" hidden="1">#REF!</definedName>
    <definedName name="Z_F2B990A1_57B3_4766_8C3D_4D3A5265BAEF_.wvu.PrintArea" localSheetId="22" hidden="1">#REF!</definedName>
    <definedName name="Z_F2B990A1_57B3_4766_8C3D_4D3A5265BAEF_.wvu.PrintArea" localSheetId="21" hidden="1">#REF!</definedName>
    <definedName name="Z_F2B990A1_57B3_4766_8C3D_4D3A5265BAEF_.wvu.PrintArea" hidden="1">#REF!</definedName>
    <definedName name="Z_F2B990A1_57B3_4766_8C3D_4D3A5265BAEF_.wvu.PrintTitles" localSheetId="14" hidden="1">#REF!</definedName>
    <definedName name="Z_F2B990A1_57B3_4766_8C3D_4D3A5265BAEF_.wvu.PrintTitles" localSheetId="17" hidden="1">#REF!</definedName>
    <definedName name="Z_F2B990A1_57B3_4766_8C3D_4D3A5265BAEF_.wvu.PrintTitles" localSheetId="18" hidden="1">#REF!</definedName>
    <definedName name="Z_F2B990A1_57B3_4766_8C3D_4D3A5265BAEF_.wvu.PrintTitles" localSheetId="9" hidden="1">#REF!</definedName>
    <definedName name="Z_F2B990A1_57B3_4766_8C3D_4D3A5265BAEF_.wvu.PrintTitles" localSheetId="11" hidden="1">#REF!</definedName>
    <definedName name="Z_F2B990A1_57B3_4766_8C3D_4D3A5265BAEF_.wvu.PrintTitles" localSheetId="13" hidden="1">#REF!</definedName>
    <definedName name="Z_F2B990A1_57B3_4766_8C3D_4D3A5265BAEF_.wvu.PrintTitles" localSheetId="20" hidden="1">#REF!</definedName>
    <definedName name="Z_F2B990A1_57B3_4766_8C3D_4D3A5265BAEF_.wvu.PrintTitles" localSheetId="22" hidden="1">#REF!</definedName>
    <definedName name="Z_F2B990A1_57B3_4766_8C3D_4D3A5265BAEF_.wvu.PrintTitles" localSheetId="21" hidden="1">#REF!</definedName>
    <definedName name="Z_F2B990A1_57B3_4766_8C3D_4D3A5265BAEF_.wvu.PrintTitles" hidden="1">#REF!</definedName>
    <definedName name="Z_F540D718_D9AA_403F_AE49_60D937FD77E5_.wvu.Rows" hidden="1">#REF!</definedName>
    <definedName name="Z_F9482E1F_92B8_43D8_949A_7DDCF2E63A19_.wvu.FilterData" localSheetId="14" hidden="1">#REF!</definedName>
    <definedName name="Z_F9482E1F_92B8_43D8_949A_7DDCF2E63A19_.wvu.FilterData" localSheetId="17" hidden="1">#REF!</definedName>
    <definedName name="Z_F9482E1F_92B8_43D8_949A_7DDCF2E63A19_.wvu.FilterData" localSheetId="18" hidden="1">#REF!</definedName>
    <definedName name="Z_F9482E1F_92B8_43D8_949A_7DDCF2E63A19_.wvu.FilterData" localSheetId="9" hidden="1">#REF!</definedName>
    <definedName name="Z_F9482E1F_92B8_43D8_949A_7DDCF2E63A19_.wvu.FilterData" localSheetId="11" hidden="1">#REF!</definedName>
    <definedName name="Z_F9482E1F_92B8_43D8_949A_7DDCF2E63A19_.wvu.FilterData" localSheetId="13" hidden="1">#REF!</definedName>
    <definedName name="Z_F9482E1F_92B8_43D8_949A_7DDCF2E63A19_.wvu.FilterData" localSheetId="20" hidden="1">#REF!</definedName>
    <definedName name="Z_F9482E1F_92B8_43D8_949A_7DDCF2E63A19_.wvu.FilterData" localSheetId="22" hidden="1">#REF!</definedName>
    <definedName name="Z_F9482E1F_92B8_43D8_949A_7DDCF2E63A19_.wvu.FilterData" localSheetId="21" hidden="1">#REF!</definedName>
    <definedName name="Z_F9482E1F_92B8_43D8_949A_7DDCF2E63A19_.wvu.FilterData" hidden="1">#REF!</definedName>
    <definedName name="Z_F9482E1F_92B8_43D8_949A_7DDCF2E63A19_.wvu.PrintArea" localSheetId="14" hidden="1">#REF!</definedName>
    <definedName name="Z_F9482E1F_92B8_43D8_949A_7DDCF2E63A19_.wvu.PrintArea" localSheetId="17" hidden="1">#REF!</definedName>
    <definedName name="Z_F9482E1F_92B8_43D8_949A_7DDCF2E63A19_.wvu.PrintArea" localSheetId="18" hidden="1">#REF!</definedName>
    <definedName name="Z_F9482E1F_92B8_43D8_949A_7DDCF2E63A19_.wvu.PrintArea" localSheetId="9" hidden="1">#REF!</definedName>
    <definedName name="Z_F9482E1F_92B8_43D8_949A_7DDCF2E63A19_.wvu.PrintArea" localSheetId="11" hidden="1">#REF!</definedName>
    <definedName name="Z_F9482E1F_92B8_43D8_949A_7DDCF2E63A19_.wvu.PrintArea" localSheetId="13" hidden="1">#REF!</definedName>
    <definedName name="Z_F9482E1F_92B8_43D8_949A_7DDCF2E63A19_.wvu.PrintArea" localSheetId="20" hidden="1">#REF!</definedName>
    <definedName name="Z_F9482E1F_92B8_43D8_949A_7DDCF2E63A19_.wvu.PrintArea" localSheetId="22" hidden="1">#REF!</definedName>
    <definedName name="Z_F9482E1F_92B8_43D8_949A_7DDCF2E63A19_.wvu.PrintArea" localSheetId="21" hidden="1">#REF!</definedName>
    <definedName name="Z_F9482E1F_92B8_43D8_949A_7DDCF2E63A19_.wvu.PrintArea" hidden="1">#REF!</definedName>
    <definedName name="Z_F9482E1F_92B8_43D8_949A_7DDCF2E63A19_.wvu.PrintTitles" localSheetId="14" hidden="1">#REF!</definedName>
    <definedName name="Z_F9482E1F_92B8_43D8_949A_7DDCF2E63A19_.wvu.PrintTitles" localSheetId="17" hidden="1">#REF!</definedName>
    <definedName name="Z_F9482E1F_92B8_43D8_949A_7DDCF2E63A19_.wvu.PrintTitles" localSheetId="18" hidden="1">#REF!</definedName>
    <definedName name="Z_F9482E1F_92B8_43D8_949A_7DDCF2E63A19_.wvu.PrintTitles" localSheetId="9" hidden="1">#REF!</definedName>
    <definedName name="Z_F9482E1F_92B8_43D8_949A_7DDCF2E63A19_.wvu.PrintTitles" localSheetId="11" hidden="1">#REF!</definedName>
    <definedName name="Z_F9482E1F_92B8_43D8_949A_7DDCF2E63A19_.wvu.PrintTitles" localSheetId="13" hidden="1">#REF!</definedName>
    <definedName name="Z_F9482E1F_92B8_43D8_949A_7DDCF2E63A19_.wvu.PrintTitles" localSheetId="20" hidden="1">#REF!</definedName>
    <definedName name="Z_F9482E1F_92B8_43D8_949A_7DDCF2E63A19_.wvu.PrintTitles" localSheetId="22" hidden="1">#REF!</definedName>
    <definedName name="Z_F9482E1F_92B8_43D8_949A_7DDCF2E63A19_.wvu.PrintTitles" localSheetId="21" hidden="1">#REF!</definedName>
    <definedName name="Z_F9482E1F_92B8_43D8_949A_7DDCF2E63A19_.wvu.PrintTitles" hidden="1">#REF!</definedName>
    <definedName name="zdervr" hidden="1">{"via1",#N/A,TRUE,"general";"via2",#N/A,TRUE,"general";"via3",#N/A,TRUE,"general"}</definedName>
    <definedName name="zonificacion">#REF!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22" i="1" l="1"/>
  <c r="C244" i="1"/>
  <c r="H25" i="26" l="1"/>
  <c r="H32" i="11" l="1"/>
  <c r="H27" i="11"/>
  <c r="H24" i="11"/>
  <c r="H21" i="11"/>
  <c r="H20" i="11"/>
  <c r="H4" i="11"/>
  <c r="E232" i="1"/>
  <c r="F232" i="1" s="1"/>
  <c r="E218" i="1"/>
  <c r="E217" i="1"/>
  <c r="E215" i="1"/>
  <c r="E213" i="1"/>
  <c r="E208" i="1"/>
  <c r="F208" i="1" s="1"/>
  <c r="E207" i="1"/>
  <c r="F207" i="1" s="1"/>
  <c r="E206" i="1"/>
  <c r="E205" i="1"/>
  <c r="E204" i="1"/>
  <c r="E203" i="1"/>
  <c r="E191" i="1"/>
  <c r="F191" i="1" s="1"/>
  <c r="E184" i="1"/>
  <c r="F184" i="1" s="1"/>
  <c r="E179" i="1"/>
  <c r="E178" i="1"/>
  <c r="E177" i="1"/>
  <c r="E175" i="1"/>
  <c r="E170" i="1"/>
  <c r="E169" i="1"/>
  <c r="E168" i="1"/>
  <c r="E167" i="1"/>
  <c r="E166" i="1"/>
  <c r="E165" i="1"/>
  <c r="E164" i="1"/>
  <c r="E163" i="1"/>
  <c r="E161" i="1"/>
  <c r="E160" i="1"/>
  <c r="E159" i="1"/>
  <c r="E158" i="1"/>
  <c r="E153" i="1"/>
  <c r="E151" i="1"/>
  <c r="E150" i="1"/>
  <c r="E149" i="1"/>
  <c r="E148" i="1"/>
  <c r="E147" i="1"/>
  <c r="E142" i="1"/>
  <c r="F142" i="1" s="1"/>
  <c r="E141" i="1"/>
  <c r="E140" i="1"/>
  <c r="F140" i="1" s="1"/>
  <c r="E139" i="1"/>
  <c r="F139" i="1" s="1"/>
  <c r="E138" i="1"/>
  <c r="F138" i="1" s="1"/>
  <c r="E137" i="1"/>
  <c r="F137" i="1" s="1"/>
  <c r="E136" i="1"/>
  <c r="F136" i="1" s="1"/>
  <c r="E135" i="1"/>
  <c r="F135" i="1" s="1"/>
  <c r="E134" i="1"/>
  <c r="F134" i="1" s="1"/>
  <c r="E133" i="1"/>
  <c r="F133" i="1" s="1"/>
  <c r="E132" i="1"/>
  <c r="F132" i="1" s="1"/>
  <c r="E131" i="1"/>
  <c r="F131" i="1" s="1"/>
  <c r="E130" i="1"/>
  <c r="F130" i="1" s="1"/>
  <c r="E129" i="1"/>
  <c r="F129" i="1" s="1"/>
  <c r="E127" i="1"/>
  <c r="E126" i="1"/>
  <c r="E125" i="1"/>
  <c r="E124" i="1"/>
  <c r="E122" i="1"/>
  <c r="E121" i="1"/>
  <c r="E120" i="1"/>
  <c r="E115" i="1"/>
  <c r="F115" i="1" s="1"/>
  <c r="E114" i="1"/>
  <c r="F114" i="1" s="1"/>
  <c r="E113" i="1"/>
  <c r="F113" i="1" s="1"/>
  <c r="E111" i="1"/>
  <c r="F111" i="1" s="1"/>
  <c r="E110" i="1"/>
  <c r="F110" i="1" s="1"/>
  <c r="E109" i="1"/>
  <c r="F109" i="1" s="1"/>
  <c r="E108" i="1"/>
  <c r="F108" i="1" s="1"/>
  <c r="E107" i="1"/>
  <c r="F107" i="1" s="1"/>
  <c r="E106" i="1"/>
  <c r="F106" i="1" s="1"/>
  <c r="E105" i="1"/>
  <c r="F105" i="1" s="1"/>
  <c r="E104" i="1"/>
  <c r="F104" i="1" s="1"/>
  <c r="E103" i="1"/>
  <c r="F103" i="1" s="1"/>
  <c r="E102" i="1"/>
  <c r="F102" i="1" s="1"/>
  <c r="E101" i="1"/>
  <c r="F101" i="1" s="1"/>
  <c r="E100" i="1"/>
  <c r="F100" i="1" s="1"/>
  <c r="E99" i="1"/>
  <c r="F99" i="1" s="1"/>
  <c r="E98" i="1"/>
  <c r="F98" i="1" s="1"/>
  <c r="E97" i="1"/>
  <c r="F97" i="1" s="1"/>
  <c r="E96" i="1"/>
  <c r="F96" i="1" s="1"/>
  <c r="E95" i="1"/>
  <c r="F95" i="1" s="1"/>
  <c r="E94" i="1"/>
  <c r="F94" i="1" s="1"/>
  <c r="E92" i="1"/>
  <c r="F92" i="1" s="1"/>
  <c r="E91" i="1"/>
  <c r="F91" i="1" s="1"/>
  <c r="E90" i="1"/>
  <c r="F90" i="1" s="1"/>
  <c r="E89" i="1"/>
  <c r="F89" i="1" s="1"/>
  <c r="E88" i="1"/>
  <c r="F88" i="1" s="1"/>
  <c r="E87" i="1"/>
  <c r="F87" i="1" s="1"/>
  <c r="E86" i="1"/>
  <c r="F86" i="1" s="1"/>
  <c r="E85" i="1"/>
  <c r="F85" i="1" s="1"/>
  <c r="E84" i="1"/>
  <c r="F84" i="1" s="1"/>
  <c r="E83" i="1"/>
  <c r="F83" i="1" s="1"/>
  <c r="E81" i="1"/>
  <c r="F81" i="1" s="1"/>
  <c r="E80" i="1"/>
  <c r="F80" i="1" s="1"/>
  <c r="E79" i="1"/>
  <c r="F79" i="1" s="1"/>
  <c r="E78" i="1"/>
  <c r="F78" i="1" s="1"/>
  <c r="E77" i="1"/>
  <c r="F77" i="1" s="1"/>
  <c r="E76" i="1"/>
  <c r="F76" i="1" s="1"/>
  <c r="E75" i="1"/>
  <c r="F75" i="1" s="1"/>
  <c r="E74" i="1"/>
  <c r="F74" i="1" s="1"/>
  <c r="E73" i="1"/>
  <c r="F73" i="1" s="1"/>
  <c r="E72" i="1"/>
  <c r="F72" i="1" s="1"/>
  <c r="E67" i="1"/>
  <c r="E66" i="1"/>
  <c r="E61" i="1"/>
  <c r="E60" i="1"/>
  <c r="F60" i="1" s="1"/>
  <c r="E59" i="1"/>
  <c r="E58" i="1"/>
  <c r="E53" i="1"/>
  <c r="F53" i="1" s="1"/>
  <c r="E52" i="1"/>
  <c r="E51" i="1"/>
  <c r="E50" i="1"/>
  <c r="F50" i="1" s="1"/>
  <c r="E48" i="1"/>
  <c r="E47" i="1"/>
  <c r="E46" i="1"/>
  <c r="E45" i="1"/>
  <c r="E44" i="1"/>
  <c r="E43" i="1"/>
  <c r="E37" i="1"/>
  <c r="E35" i="1"/>
  <c r="E33" i="1"/>
  <c r="F33" i="1" s="1"/>
  <c r="E32" i="1"/>
  <c r="E31" i="1"/>
  <c r="E30" i="1"/>
  <c r="E24" i="1"/>
  <c r="F24" i="1" s="1"/>
  <c r="E21" i="1"/>
  <c r="F21" i="1" s="1"/>
  <c r="E20" i="1"/>
  <c r="E23" i="1"/>
  <c r="F23" i="1" s="1"/>
  <c r="F25" i="1"/>
  <c r="F22" i="1" l="1"/>
  <c r="D7" i="11"/>
  <c r="E259" i="7"/>
  <c r="F553" i="20" l="1"/>
  <c r="F552" i="20"/>
  <c r="F551" i="20"/>
  <c r="E548" i="20"/>
  <c r="F547" i="20"/>
  <c r="E157" i="12" l="1"/>
  <c r="F303" i="19" l="1"/>
  <c r="E439" i="19" l="1"/>
  <c r="D121" i="1"/>
  <c r="F121" i="1" s="1"/>
  <c r="I132" i="1"/>
  <c r="I131" i="1"/>
  <c r="I130" i="1"/>
  <c r="I129" i="1"/>
  <c r="F454" i="19"/>
  <c r="G454" i="19" s="1"/>
  <c r="H338" i="19"/>
  <c r="F158" i="12"/>
  <c r="F167" i="12" l="1"/>
  <c r="G167" i="12" s="1"/>
  <c r="F172" i="12"/>
  <c r="E307" i="7"/>
  <c r="I268" i="7"/>
  <c r="I269" i="7"/>
  <c r="E115" i="7" l="1"/>
  <c r="H101" i="12" l="1"/>
  <c r="H146" i="12"/>
  <c r="H147" i="12" s="1"/>
  <c r="F182" i="12"/>
  <c r="G166" i="12"/>
  <c r="H168" i="12" s="1"/>
  <c r="G158" i="12"/>
  <c r="G157" i="12"/>
  <c r="F152" i="12"/>
  <c r="E152" i="12"/>
  <c r="G152" i="12" s="1"/>
  <c r="B146" i="12"/>
  <c r="G159" i="12" l="1"/>
  <c r="H163" i="12" s="1"/>
  <c r="B147" i="12"/>
  <c r="F361" i="19"/>
  <c r="G361" i="19" s="1"/>
  <c r="E349" i="19"/>
  <c r="F344" i="19"/>
  <c r="F351" i="19"/>
  <c r="G351" i="19" s="1"/>
  <c r="F350" i="19"/>
  <c r="F376" i="19"/>
  <c r="F366" i="19"/>
  <c r="G360" i="19"/>
  <c r="E350" i="19"/>
  <c r="G349" i="19"/>
  <c r="F345" i="19"/>
  <c r="G345" i="19" s="1"/>
  <c r="E344" i="19"/>
  <c r="G344" i="19" s="1"/>
  <c r="F314" i="19"/>
  <c r="F304" i="19"/>
  <c r="G304" i="19" s="1"/>
  <c r="G350" i="19" l="1"/>
  <c r="G353" i="19" s="1"/>
  <c r="H362" i="19"/>
  <c r="H357" i="19" l="1"/>
  <c r="E302" i="19" l="1"/>
  <c r="B339" i="19" l="1"/>
  <c r="B338" i="19"/>
  <c r="D120" i="1"/>
  <c r="F120" i="1" s="1"/>
  <c r="F69" i="20"/>
  <c r="G65" i="20"/>
  <c r="G64" i="20"/>
  <c r="H66" i="20" s="1"/>
  <c r="G55" i="20"/>
  <c r="G56" i="20" s="1"/>
  <c r="E50" i="20"/>
  <c r="G50" i="20" s="1"/>
  <c r="H45" i="20"/>
  <c r="B45" i="20"/>
  <c r="H151" i="24"/>
  <c r="B152" i="24" s="1"/>
  <c r="B151" i="24"/>
  <c r="H103" i="24"/>
  <c r="H104" i="24" s="1"/>
  <c r="B103" i="24"/>
  <c r="H55" i="24"/>
  <c r="H56" i="24" s="1"/>
  <c r="B55" i="24"/>
  <c r="H7" i="24"/>
  <c r="H8" i="24" s="1"/>
  <c r="B7" i="24"/>
  <c r="H249" i="10"/>
  <c r="H250" i="10" s="1"/>
  <c r="B249" i="10"/>
  <c r="H201" i="10"/>
  <c r="H202" i="10" s="1"/>
  <c r="B201" i="10"/>
  <c r="H151" i="10"/>
  <c r="H152" i="10" s="1"/>
  <c r="B151" i="10"/>
  <c r="H103" i="10"/>
  <c r="H104" i="10" s="1"/>
  <c r="B103" i="10"/>
  <c r="H55" i="10"/>
  <c r="H56" i="10" s="1"/>
  <c r="B55" i="10"/>
  <c r="H7" i="10"/>
  <c r="H8" i="10" s="1"/>
  <c r="B7" i="10"/>
  <c r="D198" i="1"/>
  <c r="D197" i="1"/>
  <c r="D196" i="1"/>
  <c r="D195" i="1"/>
  <c r="D194" i="1"/>
  <c r="E198" i="1"/>
  <c r="E197" i="1"/>
  <c r="E196" i="1"/>
  <c r="E195" i="1"/>
  <c r="E194" i="1"/>
  <c r="E193" i="1"/>
  <c r="F59" i="25"/>
  <c r="F58" i="25"/>
  <c r="F57" i="25"/>
  <c r="D55" i="25"/>
  <c r="F55" i="25" s="1"/>
  <c r="F54" i="25"/>
  <c r="E53" i="25"/>
  <c r="D193" i="1" s="1"/>
  <c r="H7" i="25"/>
  <c r="H8" i="25" s="1"/>
  <c r="B7" i="25"/>
  <c r="H55" i="14"/>
  <c r="H56" i="14" s="1"/>
  <c r="B55" i="14"/>
  <c r="H7" i="14"/>
  <c r="H8" i="14" s="1"/>
  <c r="B7" i="14"/>
  <c r="H152" i="8"/>
  <c r="H153" i="8" s="1"/>
  <c r="B152" i="8"/>
  <c r="H103" i="8"/>
  <c r="H104" i="8" s="1"/>
  <c r="B103" i="8"/>
  <c r="H55" i="8"/>
  <c r="B56" i="8" s="1"/>
  <c r="B55" i="8"/>
  <c r="H7" i="8"/>
  <c r="H8" i="8" s="1"/>
  <c r="B7" i="8"/>
  <c r="H535" i="7"/>
  <c r="H536" i="7" s="1"/>
  <c r="B535" i="7"/>
  <c r="H487" i="7"/>
  <c r="H488" i="7" s="1"/>
  <c r="B487" i="7"/>
  <c r="H439" i="7"/>
  <c r="H440" i="7" s="1"/>
  <c r="B439" i="7"/>
  <c r="H391" i="7"/>
  <c r="H392" i="7" s="1"/>
  <c r="B391" i="7"/>
  <c r="H343" i="7"/>
  <c r="H344" i="7" s="1"/>
  <c r="B343" i="7"/>
  <c r="H295" i="7"/>
  <c r="H296" i="7" s="1"/>
  <c r="B295" i="7"/>
  <c r="H247" i="7"/>
  <c r="H248" i="7" s="1"/>
  <c r="B247" i="7"/>
  <c r="H199" i="7"/>
  <c r="H200" i="7" s="1"/>
  <c r="B199" i="7"/>
  <c r="H151" i="7"/>
  <c r="H152" i="7" s="1"/>
  <c r="B151" i="7"/>
  <c r="H103" i="7"/>
  <c r="H104" i="7" s="1"/>
  <c r="B103" i="7"/>
  <c r="H55" i="7"/>
  <c r="H56" i="7" s="1"/>
  <c r="B55" i="7"/>
  <c r="B7" i="7"/>
  <c r="H7" i="7"/>
  <c r="H8" i="7" s="1"/>
  <c r="H247" i="9"/>
  <c r="H248" i="9" s="1"/>
  <c r="B247" i="9"/>
  <c r="H199" i="9"/>
  <c r="H200" i="9" s="1"/>
  <c r="B199" i="9"/>
  <c r="H151" i="9"/>
  <c r="H152" i="9" s="1"/>
  <c r="B151" i="9"/>
  <c r="H103" i="9"/>
  <c r="H104" i="9" s="1"/>
  <c r="B103" i="9"/>
  <c r="H55" i="9"/>
  <c r="H56" i="9" s="1"/>
  <c r="B55" i="9"/>
  <c r="H7" i="9"/>
  <c r="H8" i="9" s="1"/>
  <c r="B7" i="9"/>
  <c r="H851" i="20"/>
  <c r="H240" i="20"/>
  <c r="B240" i="20"/>
  <c r="H201" i="20"/>
  <c r="B201" i="20"/>
  <c r="H162" i="20"/>
  <c r="B162" i="20"/>
  <c r="H1955" i="16"/>
  <c r="B1955" i="16"/>
  <c r="B1954" i="16"/>
  <c r="H1907" i="16"/>
  <c r="B1907" i="16"/>
  <c r="B1906" i="16"/>
  <c r="H1859" i="16"/>
  <c r="B1859" i="16"/>
  <c r="B1858" i="16"/>
  <c r="H1812" i="16"/>
  <c r="B1812" i="16"/>
  <c r="B1811" i="16"/>
  <c r="H1758" i="16"/>
  <c r="B1758" i="16"/>
  <c r="B1757" i="16"/>
  <c r="H1704" i="16"/>
  <c r="B1704" i="16"/>
  <c r="B1703" i="16"/>
  <c r="H1650" i="16"/>
  <c r="B1650" i="16"/>
  <c r="B1649" i="16"/>
  <c r="H1596" i="16"/>
  <c r="B1596" i="16"/>
  <c r="B1595" i="16"/>
  <c r="H1549" i="16"/>
  <c r="B1549" i="16"/>
  <c r="B1548" i="16"/>
  <c r="H1501" i="16"/>
  <c r="B1501" i="16"/>
  <c r="B1500" i="16"/>
  <c r="H1456" i="16"/>
  <c r="B1456" i="16"/>
  <c r="B1455" i="16"/>
  <c r="H1408" i="16"/>
  <c r="B1408" i="16"/>
  <c r="B1407" i="16"/>
  <c r="H1360" i="16"/>
  <c r="B1360" i="16"/>
  <c r="B1359" i="16"/>
  <c r="H1312" i="16"/>
  <c r="B1312" i="16"/>
  <c r="B1311" i="16"/>
  <c r="H1264" i="16"/>
  <c r="B1264" i="16"/>
  <c r="B1263" i="16"/>
  <c r="H1216" i="16"/>
  <c r="B1216" i="16"/>
  <c r="B1215" i="16"/>
  <c r="H1169" i="16"/>
  <c r="B1169" i="16"/>
  <c r="B1168" i="16"/>
  <c r="H1121" i="16"/>
  <c r="B1121" i="16"/>
  <c r="B1120" i="16"/>
  <c r="H1073" i="16"/>
  <c r="B1073" i="16"/>
  <c r="B1072" i="16"/>
  <c r="H1025" i="16"/>
  <c r="B1025" i="16"/>
  <c r="B1024" i="16"/>
  <c r="H977" i="16"/>
  <c r="B977" i="16"/>
  <c r="B976" i="16"/>
  <c r="H929" i="16"/>
  <c r="B929" i="16"/>
  <c r="B928" i="16"/>
  <c r="H881" i="16"/>
  <c r="B881" i="16"/>
  <c r="B880" i="16"/>
  <c r="H833" i="16"/>
  <c r="B833" i="16"/>
  <c r="B832" i="16"/>
  <c r="H785" i="16"/>
  <c r="B785" i="16"/>
  <c r="B784" i="16"/>
  <c r="H737" i="16"/>
  <c r="B737" i="16"/>
  <c r="B736" i="16"/>
  <c r="H689" i="16"/>
  <c r="B689" i="16"/>
  <c r="B688" i="16"/>
  <c r="H641" i="16"/>
  <c r="B641" i="16"/>
  <c r="B640" i="16"/>
  <c r="H591" i="16"/>
  <c r="B591" i="16"/>
  <c r="B590" i="16"/>
  <c r="H540" i="16"/>
  <c r="B540" i="16"/>
  <c r="B539" i="16"/>
  <c r="H489" i="16"/>
  <c r="B489" i="16"/>
  <c r="B488" i="16"/>
  <c r="H441" i="16"/>
  <c r="B441" i="16"/>
  <c r="B440" i="16"/>
  <c r="H393" i="16"/>
  <c r="B393" i="16"/>
  <c r="B392" i="16"/>
  <c r="H345" i="16"/>
  <c r="B345" i="16"/>
  <c r="B344" i="16"/>
  <c r="H297" i="16"/>
  <c r="B297" i="16"/>
  <c r="B296" i="16"/>
  <c r="H249" i="16"/>
  <c r="B249" i="16"/>
  <c r="B248" i="16"/>
  <c r="F193" i="1" l="1"/>
  <c r="F194" i="1"/>
  <c r="F195" i="1"/>
  <c r="F197" i="1"/>
  <c r="F198" i="1"/>
  <c r="F196" i="1"/>
  <c r="F53" i="25"/>
  <c r="F60" i="25" s="1"/>
  <c r="H339" i="19"/>
  <c r="G57" i="20"/>
  <c r="G58" i="20"/>
  <c r="H152" i="24"/>
  <c r="B104" i="24"/>
  <c r="B56" i="24"/>
  <c r="B8" i="24"/>
  <c r="B250" i="10"/>
  <c r="B202" i="10"/>
  <c r="B152" i="10"/>
  <c r="B104" i="10"/>
  <c r="B56" i="10"/>
  <c r="B8" i="10"/>
  <c r="B8" i="25"/>
  <c r="B56" i="14"/>
  <c r="B8" i="14"/>
  <c r="B153" i="8"/>
  <c r="B104" i="8"/>
  <c r="H56" i="8"/>
  <c r="B8" i="8"/>
  <c r="B536" i="7"/>
  <c r="B488" i="7"/>
  <c r="B440" i="7"/>
  <c r="B392" i="7"/>
  <c r="B344" i="7"/>
  <c r="B296" i="7"/>
  <c r="B248" i="7"/>
  <c r="B200" i="7"/>
  <c r="B152" i="7"/>
  <c r="B104" i="7"/>
  <c r="B56" i="7"/>
  <c r="B8" i="7"/>
  <c r="B248" i="9"/>
  <c r="B200" i="9"/>
  <c r="B152" i="9"/>
  <c r="B104" i="9"/>
  <c r="B56" i="9"/>
  <c r="B8" i="9"/>
  <c r="H61" i="20" l="1"/>
  <c r="H201" i="16"/>
  <c r="B201" i="16"/>
  <c r="B200" i="16"/>
  <c r="H153" i="16"/>
  <c r="B153" i="16"/>
  <c r="B152" i="16"/>
  <c r="H104" i="16"/>
  <c r="B104" i="16"/>
  <c r="B103" i="16"/>
  <c r="H56" i="16"/>
  <c r="B56" i="16"/>
  <c r="B55" i="16"/>
  <c r="B7" i="16"/>
  <c r="H8" i="16"/>
  <c r="B8" i="16"/>
  <c r="H55" i="2"/>
  <c r="B55" i="2"/>
  <c r="B54" i="2"/>
  <c r="B101" i="12"/>
  <c r="B54" i="12"/>
  <c r="B7" i="12"/>
  <c r="B7" i="2"/>
  <c r="H8" i="2"/>
  <c r="H102" i="12"/>
  <c r="H54" i="12"/>
  <c r="H55" i="12" s="1"/>
  <c r="H7" i="12"/>
  <c r="H8" i="12" s="1"/>
  <c r="H432" i="19"/>
  <c r="H433" i="19" s="1"/>
  <c r="B432" i="19"/>
  <c r="H385" i="19"/>
  <c r="H386" i="19" s="1"/>
  <c r="B385" i="19"/>
  <c r="H291" i="19"/>
  <c r="H292" i="19" s="1"/>
  <c r="B291" i="19"/>
  <c r="H243" i="19"/>
  <c r="B243" i="19"/>
  <c r="B242" i="19"/>
  <c r="H196" i="19"/>
  <c r="B196" i="19"/>
  <c r="B195" i="19"/>
  <c r="H149" i="19"/>
  <c r="B149" i="19"/>
  <c r="B148" i="19"/>
  <c r="H102" i="19"/>
  <c r="B102" i="19"/>
  <c r="B101" i="19"/>
  <c r="H55" i="19"/>
  <c r="B55" i="19"/>
  <c r="B54" i="19"/>
  <c r="H8" i="19"/>
  <c r="B7" i="19"/>
  <c r="B8" i="19"/>
  <c r="F250" i="20"/>
  <c r="F251" i="20"/>
  <c r="F252" i="20"/>
  <c r="F259" i="20"/>
  <c r="G259" i="20" s="1"/>
  <c r="F260" i="20"/>
  <c r="G260" i="20" s="1"/>
  <c r="G250" i="20"/>
  <c r="G251" i="20"/>
  <c r="G252" i="20"/>
  <c r="F265" i="20"/>
  <c r="G245" i="20"/>
  <c r="D124" i="1"/>
  <c r="F124" i="1" s="1"/>
  <c r="G211" i="20"/>
  <c r="F226" i="20"/>
  <c r="G221" i="20"/>
  <c r="G220" i="20"/>
  <c r="H222" i="20" s="1"/>
  <c r="G206" i="20"/>
  <c r="G167" i="20"/>
  <c r="E172" i="20"/>
  <c r="G172" i="20" s="1"/>
  <c r="F187" i="20"/>
  <c r="G182" i="20"/>
  <c r="F181" i="20"/>
  <c r="G181" i="20" s="1"/>
  <c r="F148" i="20"/>
  <c r="F142" i="20"/>
  <c r="G142" i="20" s="1"/>
  <c r="G143" i="20"/>
  <c r="H123" i="20"/>
  <c r="B123" i="20"/>
  <c r="F108" i="20"/>
  <c r="G103" i="20"/>
  <c r="G104" i="20"/>
  <c r="G94" i="20"/>
  <c r="E89" i="20"/>
  <c r="G89" i="20" s="1"/>
  <c r="H84" i="20"/>
  <c r="B84" i="20"/>
  <c r="F31" i="20"/>
  <c r="D126" i="1"/>
  <c r="G26" i="20"/>
  <c r="E12" i="20"/>
  <c r="F629" i="20"/>
  <c r="G629" i="20" s="1"/>
  <c r="G17" i="20"/>
  <c r="G27" i="20"/>
  <c r="D122" i="1" l="1"/>
  <c r="F122" i="1" s="1"/>
  <c r="F126" i="1"/>
  <c r="H261" i="20"/>
  <c r="B8" i="2"/>
  <c r="B102" i="12"/>
  <c r="B55" i="12"/>
  <c r="B8" i="12"/>
  <c r="B433" i="19"/>
  <c r="B386" i="19"/>
  <c r="B292" i="19"/>
  <c r="D125" i="1"/>
  <c r="F125" i="1" s="1"/>
  <c r="G212" i="20"/>
  <c r="G213" i="20" s="1"/>
  <c r="H183" i="20"/>
  <c r="H105" i="20"/>
  <c r="G173" i="20"/>
  <c r="H144" i="20"/>
  <c r="G95" i="20"/>
  <c r="H28" i="20"/>
  <c r="G12" i="20"/>
  <c r="G18" i="20"/>
  <c r="G19" i="20" s="1"/>
  <c r="G253" i="20" l="1"/>
  <c r="H256" i="20" s="1"/>
  <c r="G214" i="20"/>
  <c r="H217" i="20" s="1"/>
  <c r="G174" i="20"/>
  <c r="G175" i="20" s="1"/>
  <c r="H178" i="20" s="1"/>
  <c r="G96" i="20"/>
  <c r="G20" i="20"/>
  <c r="H23" i="20" s="1"/>
  <c r="G97" i="20" l="1"/>
  <c r="H100" i="20" s="1"/>
  <c r="H7" i="20" l="1"/>
  <c r="B7" i="20"/>
  <c r="E498" i="20"/>
  <c r="E499" i="20"/>
  <c r="E497" i="20"/>
  <c r="G497" i="20" s="1"/>
  <c r="E496" i="20"/>
  <c r="G496" i="20" s="1"/>
  <c r="F502" i="20"/>
  <c r="G502" i="20" s="1"/>
  <c r="F500" i="20"/>
  <c r="F525" i="20"/>
  <c r="F524" i="20"/>
  <c r="F515" i="20"/>
  <c r="G510" i="20"/>
  <c r="H511" i="20" s="1"/>
  <c r="E501" i="20"/>
  <c r="E500" i="20"/>
  <c r="F498" i="20"/>
  <c r="F499" i="20" s="1"/>
  <c r="G491" i="20"/>
  <c r="H486" i="20"/>
  <c r="B486" i="20"/>
  <c r="D127" i="1"/>
  <c r="F127" i="1" s="1"/>
  <c r="G548" i="20"/>
  <c r="F565" i="20"/>
  <c r="G558" i="20"/>
  <c r="H561" i="20" s="1"/>
  <c r="G553" i="20"/>
  <c r="G552" i="20"/>
  <c r="G551" i="20"/>
  <c r="G550" i="20"/>
  <c r="F549" i="20"/>
  <c r="G549" i="20" s="1"/>
  <c r="G542" i="20"/>
  <c r="H852" i="20"/>
  <c r="B852" i="20"/>
  <c r="H537" i="20"/>
  <c r="B537" i="20"/>
  <c r="H436" i="20"/>
  <c r="B436" i="20"/>
  <c r="H388" i="20"/>
  <c r="B388" i="20"/>
  <c r="H292" i="20"/>
  <c r="B292" i="20"/>
  <c r="H340" i="20"/>
  <c r="B340" i="20"/>
  <c r="I364" i="20"/>
  <c r="E446" i="20"/>
  <c r="E398" i="20"/>
  <c r="E350" i="20"/>
  <c r="E302" i="20"/>
  <c r="F405" i="16"/>
  <c r="G500" i="20" l="1"/>
  <c r="G499" i="20"/>
  <c r="G498" i="20"/>
  <c r="F501" i="20"/>
  <c r="G501" i="20" s="1"/>
  <c r="F68" i="16"/>
  <c r="E1038" i="16"/>
  <c r="G1038" i="16" s="1"/>
  <c r="F1037" i="16"/>
  <c r="E1036" i="16"/>
  <c r="E1035" i="16"/>
  <c r="F1380" i="16"/>
  <c r="F1379" i="16"/>
  <c r="E553" i="16"/>
  <c r="E502" i="16"/>
  <c r="E500" i="16"/>
  <c r="E551" i="16"/>
  <c r="E602" i="16"/>
  <c r="E652" i="16"/>
  <c r="E355" i="16"/>
  <c r="F1234" i="16"/>
  <c r="E1226" i="16"/>
  <c r="E1179" i="16"/>
  <c r="E1375" i="16"/>
  <c r="G1375" i="16" s="1"/>
  <c r="G1380" i="16"/>
  <c r="G1379" i="16"/>
  <c r="F1365" i="16"/>
  <c r="G1365" i="16" s="1"/>
  <c r="F1385" i="16"/>
  <c r="E1365" i="16"/>
  <c r="E699" i="16"/>
  <c r="F607" i="16"/>
  <c r="G607" i="16" s="1"/>
  <c r="F606" i="16"/>
  <c r="F714" i="16"/>
  <c r="E654" i="16"/>
  <c r="F647" i="16"/>
  <c r="E647" i="16"/>
  <c r="F666" i="16"/>
  <c r="E597" i="16"/>
  <c r="E546" i="16"/>
  <c r="E495" i="16"/>
  <c r="F618" i="16"/>
  <c r="E505" i="16"/>
  <c r="G505" i="16" s="1"/>
  <c r="E556" i="16"/>
  <c r="G556" i="16" s="1"/>
  <c r="F545" i="16"/>
  <c r="G545" i="16" s="1"/>
  <c r="F568" i="16"/>
  <c r="E1823" i="16"/>
  <c r="E1775" i="16"/>
  <c r="E1720" i="16"/>
  <c r="E1667" i="16"/>
  <c r="E1613" i="16"/>
  <c r="F1467" i="16"/>
  <c r="G1467" i="16" s="1"/>
  <c r="F1479" i="16"/>
  <c r="F1474" i="16"/>
  <c r="G1474" i="16" s="1"/>
  <c r="F1473" i="16"/>
  <c r="G1473" i="16" s="1"/>
  <c r="F1468" i="16"/>
  <c r="G1468" i="16" s="1"/>
  <c r="E1466" i="16"/>
  <c r="E1324" i="16"/>
  <c r="E1323" i="16"/>
  <c r="E1322" i="16"/>
  <c r="F1278" i="16"/>
  <c r="G1278" i="16" s="1"/>
  <c r="F1276" i="16"/>
  <c r="F1277" i="16" s="1"/>
  <c r="G1277" i="16" s="1"/>
  <c r="F1283" i="16"/>
  <c r="G1283" i="16" s="1"/>
  <c r="E1275" i="16"/>
  <c r="E1274" i="16"/>
  <c r="F1284" i="16"/>
  <c r="G1284" i="16" s="1"/>
  <c r="F1289" i="16"/>
  <c r="F1235" i="16"/>
  <c r="G1235" i="16" s="1"/>
  <c r="G1234" i="16"/>
  <c r="E1229" i="16"/>
  <c r="G1229" i="16" s="1"/>
  <c r="E1228" i="16"/>
  <c r="G1228" i="16" s="1"/>
  <c r="G1227" i="16"/>
  <c r="G1226" i="16"/>
  <c r="G1222" i="16"/>
  <c r="F1221" i="16"/>
  <c r="E1221" i="16"/>
  <c r="E1085" i="16"/>
  <c r="E1083" i="16"/>
  <c r="E1084" i="16"/>
  <c r="F1174" i="16"/>
  <c r="E1174" i="16"/>
  <c r="F1188" i="16"/>
  <c r="G1188" i="16" s="1"/>
  <c r="F1187" i="16"/>
  <c r="G1187" i="16" s="1"/>
  <c r="G1180" i="16"/>
  <c r="E1182" i="16"/>
  <c r="G1182" i="16" s="1"/>
  <c r="E1181" i="16"/>
  <c r="G1181" i="16" s="1"/>
  <c r="E987" i="16"/>
  <c r="F990" i="16"/>
  <c r="G990" i="16" s="1"/>
  <c r="G989" i="16"/>
  <c r="G503" i="20" l="1"/>
  <c r="H506" i="20" s="1"/>
  <c r="F546" i="16"/>
  <c r="G546" i="16" s="1"/>
  <c r="G1174" i="16"/>
  <c r="G1221" i="16"/>
  <c r="H1475" i="16"/>
  <c r="H1189" i="16"/>
  <c r="G1276" i="16"/>
  <c r="H1236" i="16"/>
  <c r="H1231" i="16"/>
  <c r="E893" i="16"/>
  <c r="E845" i="16"/>
  <c r="E797" i="16"/>
  <c r="E749" i="16"/>
  <c r="F708" i="16"/>
  <c r="G708" i="16" s="1"/>
  <c r="F398" i="16"/>
  <c r="F406" i="16"/>
  <c r="G406" i="16" s="1"/>
  <c r="G405" i="16"/>
  <c r="E403" i="16"/>
  <c r="E350" i="16"/>
  <c r="F130" i="16"/>
  <c r="F109" i="16"/>
  <c r="B34" i="6"/>
  <c r="C34" i="6"/>
  <c r="F33" i="6"/>
  <c r="F34" i="6" s="1"/>
  <c r="C33" i="6"/>
  <c r="E109" i="16"/>
  <c r="F709" i="16" l="1"/>
  <c r="G709" i="16" s="1"/>
  <c r="G694" i="16"/>
  <c r="D34" i="6"/>
  <c r="E34" i="6" s="1"/>
  <c r="G109" i="16"/>
  <c r="C1239" i="16" l="1"/>
  <c r="C1001" i="16"/>
  <c r="C1192" i="16"/>
  <c r="C1788" i="16"/>
  <c r="C1734" i="16"/>
  <c r="C617" i="16"/>
  <c r="C665" i="16"/>
  <c r="C1478" i="16"/>
  <c r="C1626" i="16"/>
  <c r="C516" i="16"/>
  <c r="C1384" i="16"/>
  <c r="C567" i="16"/>
  <c r="C1288" i="16"/>
  <c r="C1680" i="16"/>
  <c r="C1049" i="16"/>
  <c r="C761" i="16"/>
  <c r="C713" i="16"/>
  <c r="C417" i="16"/>
  <c r="C857" i="16"/>
  <c r="C905" i="16"/>
  <c r="C129" i="16"/>
  <c r="C369" i="16"/>
  <c r="C809" i="16"/>
  <c r="E114" i="16"/>
  <c r="E357" i="16"/>
  <c r="G357" i="16" s="1"/>
  <c r="F350" i="16"/>
  <c r="G350" i="16" s="1"/>
  <c r="E356" i="16"/>
  <c r="G356" i="16" s="1"/>
  <c r="G359" i="16"/>
  <c r="E358" i="16"/>
  <c r="G358" i="16" s="1"/>
  <c r="F365" i="16"/>
  <c r="G365" i="16" s="1"/>
  <c r="F364" i="16"/>
  <c r="G364" i="16" s="1"/>
  <c r="E165" i="16"/>
  <c r="E211" i="16"/>
  <c r="F124" i="16"/>
  <c r="F123" i="16"/>
  <c r="G123" i="16" s="1"/>
  <c r="G116" i="16"/>
  <c r="E115" i="16"/>
  <c r="G115" i="16" s="1"/>
  <c r="E18" i="16"/>
  <c r="E66" i="10" l="1"/>
  <c r="J28" i="10"/>
  <c r="J27" i="10"/>
  <c r="E18" i="10"/>
  <c r="E67" i="7" l="1"/>
  <c r="E19" i="7"/>
  <c r="E22" i="26"/>
  <c r="E23" i="26"/>
  <c r="H24" i="26" l="1"/>
  <c r="G128" i="10"/>
  <c r="F129" i="10"/>
  <c r="G129" i="10" s="1"/>
  <c r="F124" i="10"/>
  <c r="F123" i="10"/>
  <c r="E114" i="10"/>
  <c r="G80" i="10"/>
  <c r="F76" i="10"/>
  <c r="F75" i="10"/>
  <c r="F81" i="10"/>
  <c r="G81" i="10" s="1"/>
  <c r="F28" i="10"/>
  <c r="G32" i="10"/>
  <c r="F33" i="10"/>
  <c r="G33" i="10" s="1"/>
  <c r="H117" i="29"/>
  <c r="F142" i="29"/>
  <c r="F192" i="1" l="1"/>
  <c r="F839" i="20"/>
  <c r="F818" i="20" s="1"/>
  <c r="G818" i="20" s="1"/>
  <c r="G832" i="20"/>
  <c r="H835" i="20" s="1"/>
  <c r="F826" i="20"/>
  <c r="G826" i="20" s="1"/>
  <c r="G825" i="20"/>
  <c r="H812" i="20"/>
  <c r="H813" i="20" s="1"/>
  <c r="F778" i="20"/>
  <c r="F779" i="20" s="1"/>
  <c r="F800" i="20"/>
  <c r="G794" i="20"/>
  <c r="G793" i="20"/>
  <c r="F788" i="20"/>
  <c r="F786" i="20"/>
  <c r="F787" i="20" s="1"/>
  <c r="G787" i="20" s="1"/>
  <c r="F785" i="20"/>
  <c r="G785" i="20" s="1"/>
  <c r="H772" i="20"/>
  <c r="H773" i="20" s="1"/>
  <c r="F740" i="20"/>
  <c r="G740" i="20" s="1"/>
  <c r="F761" i="20"/>
  <c r="G755" i="20"/>
  <c r="G754" i="20"/>
  <c r="G749" i="20"/>
  <c r="F748" i="20"/>
  <c r="F747" i="20"/>
  <c r="F723" i="20"/>
  <c r="G716" i="20"/>
  <c r="H719" i="20" s="1"/>
  <c r="F710" i="20"/>
  <c r="G709" i="20"/>
  <c r="G708" i="20"/>
  <c r="F702" i="20"/>
  <c r="G702" i="20" s="1"/>
  <c r="H734" i="20"/>
  <c r="B735" i="20" s="1"/>
  <c r="H696" i="20"/>
  <c r="H697" i="20" s="1"/>
  <c r="F685" i="20"/>
  <c r="G678" i="20"/>
  <c r="H681" i="20" s="1"/>
  <c r="F673" i="20"/>
  <c r="G672" i="20"/>
  <c r="G671" i="20"/>
  <c r="G665" i="20"/>
  <c r="H659" i="20"/>
  <c r="H660" i="20" s="1"/>
  <c r="F648" i="20"/>
  <c r="G641" i="20"/>
  <c r="H644" i="20" s="1"/>
  <c r="F636" i="20"/>
  <c r="G635" i="20"/>
  <c r="F610" i="20"/>
  <c r="G603" i="20"/>
  <c r="H606" i="20" s="1"/>
  <c r="G597" i="20"/>
  <c r="H600" i="20" s="1"/>
  <c r="H623" i="20"/>
  <c r="H624" i="20" s="1"/>
  <c r="B586" i="20"/>
  <c r="H187" i="29"/>
  <c r="H186" i="29"/>
  <c r="H184" i="29"/>
  <c r="H183" i="29"/>
  <c r="H182" i="29"/>
  <c r="H188" i="29"/>
  <c r="H172" i="29"/>
  <c r="H171" i="29"/>
  <c r="H170" i="29"/>
  <c r="H169" i="29"/>
  <c r="H168" i="29"/>
  <c r="H167" i="29"/>
  <c r="H166" i="29"/>
  <c r="H165" i="29"/>
  <c r="H164" i="29"/>
  <c r="H163" i="29"/>
  <c r="H162" i="29"/>
  <c r="H161" i="29"/>
  <c r="H160" i="29"/>
  <c r="H159" i="29"/>
  <c r="H158" i="29"/>
  <c r="H157" i="29"/>
  <c r="H156" i="29"/>
  <c r="H155" i="29"/>
  <c r="H190" i="29"/>
  <c r="H149" i="29"/>
  <c r="H796" i="20" l="1"/>
  <c r="F780" i="20"/>
  <c r="G780" i="20" s="1"/>
  <c r="G779" i="20"/>
  <c r="G778" i="20"/>
  <c r="H829" i="20"/>
  <c r="G786" i="20"/>
  <c r="B813" i="20"/>
  <c r="H757" i="20"/>
  <c r="B773" i="20"/>
  <c r="H735" i="20"/>
  <c r="B697" i="20"/>
  <c r="B660" i="20"/>
  <c r="H586" i="20"/>
  <c r="B624" i="20"/>
  <c r="H23" i="29" l="1"/>
  <c r="H22" i="29"/>
  <c r="F23" i="29"/>
  <c r="H199" i="29"/>
  <c r="H181" i="29"/>
  <c r="H179" i="29"/>
  <c r="H175" i="29"/>
  <c r="H174" i="29"/>
  <c r="H173" i="29"/>
  <c r="H93" i="29"/>
  <c r="H92" i="29"/>
  <c r="H70" i="29"/>
  <c r="H91" i="29"/>
  <c r="H131" i="29"/>
  <c r="H130" i="29"/>
  <c r="H126" i="29"/>
  <c r="H125" i="29"/>
  <c r="H114" i="29"/>
  <c r="H100" i="29"/>
  <c r="H98" i="29"/>
  <c r="H97" i="29"/>
  <c r="H96" i="29"/>
  <c r="H95" i="29"/>
  <c r="H94" i="29" l="1"/>
  <c r="F68" i="29"/>
  <c r="H40" i="29"/>
  <c r="H39" i="29"/>
  <c r="H89" i="29"/>
  <c r="H84" i="29"/>
  <c r="H83" i="29"/>
  <c r="H72" i="29"/>
  <c r="H69" i="29"/>
  <c r="H68" i="29"/>
  <c r="H56" i="29"/>
  <c r="H57" i="29"/>
  <c r="H60" i="29"/>
  <c r="F61" i="29"/>
  <c r="K64" i="29"/>
  <c r="K65" i="29" s="1"/>
  <c r="H86" i="29"/>
  <c r="H90" i="29"/>
  <c r="F118" i="29"/>
  <c r="H118" i="29"/>
  <c r="H194" i="29"/>
  <c r="I194" i="29" s="1"/>
  <c r="H80" i="29"/>
  <c r="H88" i="29"/>
  <c r="H192" i="29"/>
  <c r="H193" i="29"/>
  <c r="H140" i="29"/>
  <c r="H189" i="29"/>
  <c r="I189" i="29" s="1"/>
  <c r="I188" i="29"/>
  <c r="H81" i="29"/>
  <c r="H71" i="29"/>
  <c r="H77" i="29"/>
  <c r="H76" i="29"/>
  <c r="H85" i="29"/>
  <c r="H49" i="29"/>
  <c r="I49" i="29" s="1"/>
  <c r="F51" i="29"/>
  <c r="H51" i="29"/>
  <c r="H99" i="29"/>
  <c r="H75" i="29"/>
  <c r="H73" i="29"/>
  <c r="H82" i="29"/>
  <c r="H33" i="29"/>
  <c r="I33" i="29" s="1"/>
  <c r="I32" i="29"/>
  <c r="I22" i="29"/>
  <c r="C9" i="29"/>
  <c r="I204" i="29"/>
  <c r="I203" i="29"/>
  <c r="I202" i="29"/>
  <c r="I201" i="29"/>
  <c r="I200" i="29"/>
  <c r="I198" i="29"/>
  <c r="F197" i="29"/>
  <c r="I197" i="29" s="1"/>
  <c r="I196" i="29"/>
  <c r="I195" i="29"/>
  <c r="I193" i="29"/>
  <c r="I191" i="29"/>
  <c r="I190" i="29"/>
  <c r="I187" i="29"/>
  <c r="I186" i="29"/>
  <c r="I185" i="29"/>
  <c r="I184" i="29"/>
  <c r="I183" i="29"/>
  <c r="I182" i="29"/>
  <c r="I181" i="29"/>
  <c r="I180" i="29"/>
  <c r="I179" i="29"/>
  <c r="I178" i="29"/>
  <c r="I177" i="29"/>
  <c r="I176" i="29"/>
  <c r="I175" i="29"/>
  <c r="I174" i="29"/>
  <c r="I173" i="29"/>
  <c r="I172" i="29"/>
  <c r="I171" i="29"/>
  <c r="I170" i="29"/>
  <c r="I169" i="29"/>
  <c r="I168" i="29"/>
  <c r="I167" i="29"/>
  <c r="I166" i="29"/>
  <c r="I165" i="29"/>
  <c r="I164" i="29"/>
  <c r="I163" i="29"/>
  <c r="I162" i="29"/>
  <c r="I161" i="29"/>
  <c r="I160" i="29"/>
  <c r="I159" i="29"/>
  <c r="I158" i="29"/>
  <c r="I157" i="29"/>
  <c r="I156" i="29"/>
  <c r="I155" i="29"/>
  <c r="I150" i="29"/>
  <c r="I149" i="29"/>
  <c r="I148" i="29"/>
  <c r="I147" i="29"/>
  <c r="I146" i="29"/>
  <c r="I145" i="29"/>
  <c r="I144" i="29"/>
  <c r="I143" i="29"/>
  <c r="I141" i="29"/>
  <c r="I140" i="29"/>
  <c r="I139" i="29"/>
  <c r="I138" i="29"/>
  <c r="I137" i="29"/>
  <c r="I136" i="29"/>
  <c r="I135" i="29"/>
  <c r="I134" i="29"/>
  <c r="I133" i="29"/>
  <c r="I132" i="29"/>
  <c r="I131" i="29"/>
  <c r="I130" i="29"/>
  <c r="I129" i="29"/>
  <c r="I128" i="29"/>
  <c r="I127" i="29"/>
  <c r="I126" i="29"/>
  <c r="I125" i="29"/>
  <c r="I124" i="29"/>
  <c r="I123" i="29"/>
  <c r="I122" i="29"/>
  <c r="I121" i="29"/>
  <c r="I120" i="29"/>
  <c r="I119" i="29"/>
  <c r="I117" i="29"/>
  <c r="I116" i="29"/>
  <c r="I115" i="29"/>
  <c r="I114" i="29"/>
  <c r="I113" i="29"/>
  <c r="I112" i="29"/>
  <c r="I111" i="29"/>
  <c r="I110" i="29"/>
  <c r="I109" i="29"/>
  <c r="I108" i="29"/>
  <c r="I107" i="29"/>
  <c r="I106" i="29"/>
  <c r="I101" i="29"/>
  <c r="I93" i="29"/>
  <c r="I89" i="29"/>
  <c r="I78" i="29"/>
  <c r="H74" i="29"/>
  <c r="G71" i="29"/>
  <c r="I65" i="29"/>
  <c r="I63" i="29"/>
  <c r="I59" i="29"/>
  <c r="H58" i="29"/>
  <c r="I58" i="29" s="1"/>
  <c r="F56" i="29"/>
  <c r="I54" i="29"/>
  <c r="F53" i="29"/>
  <c r="I53" i="29" s="1"/>
  <c r="I52" i="29"/>
  <c r="I50" i="29"/>
  <c r="I48" i="29"/>
  <c r="F47" i="29"/>
  <c r="F55" i="29" s="1"/>
  <c r="I55" i="29" s="1"/>
  <c r="I46" i="29"/>
  <c r="I45" i="29"/>
  <c r="I44" i="29"/>
  <c r="I43" i="29"/>
  <c r="I41" i="29"/>
  <c r="I31" i="29"/>
  <c r="I30" i="29"/>
  <c r="I29" i="29"/>
  <c r="I28" i="29"/>
  <c r="I27" i="29"/>
  <c r="I26" i="29"/>
  <c r="I25" i="29"/>
  <c r="I24" i="29"/>
  <c r="I23" i="29"/>
  <c r="D17" i="29"/>
  <c r="F88" i="29" l="1"/>
  <c r="F84" i="29"/>
  <c r="I118" i="29"/>
  <c r="D18" i="29"/>
  <c r="F91" i="29"/>
  <c r="H34" i="29"/>
  <c r="I34" i="29" s="1"/>
  <c r="I35" i="29" s="1"/>
  <c r="I51" i="29"/>
  <c r="I80" i="29"/>
  <c r="F86" i="29"/>
  <c r="I86" i="29" s="1"/>
  <c r="I79" i="29"/>
  <c r="F87" i="29"/>
  <c r="I87" i="29" s="1"/>
  <c r="F64" i="29"/>
  <c r="I70" i="29"/>
  <c r="I76" i="29"/>
  <c r="I74" i="29"/>
  <c r="I71" i="29"/>
  <c r="F83" i="29"/>
  <c r="I83" i="29" s="1"/>
  <c r="I73" i="29"/>
  <c r="I75" i="29"/>
  <c r="I68" i="29"/>
  <c r="I199" i="29"/>
  <c r="F60" i="29"/>
  <c r="I60" i="29" s="1"/>
  <c r="I192" i="29"/>
  <c r="I47" i="29"/>
  <c r="I56" i="29"/>
  <c r="I90" i="29"/>
  <c r="I42" i="29"/>
  <c r="I72" i="29"/>
  <c r="I69" i="29"/>
  <c r="I57" i="29"/>
  <c r="H62" i="29"/>
  <c r="I62" i="29" s="1"/>
  <c r="I39" i="29"/>
  <c r="I81" i="29"/>
  <c r="I88" i="29"/>
  <c r="I40" i="29"/>
  <c r="D11" i="29"/>
  <c r="I82" i="29"/>
  <c r="F95" i="29" l="1"/>
  <c r="F92" i="29"/>
  <c r="I92" i="29" s="1"/>
  <c r="I77" i="29"/>
  <c r="F99" i="29"/>
  <c r="F94" i="29"/>
  <c r="F100" i="29" s="1"/>
  <c r="I100" i="29" s="1"/>
  <c r="I205" i="29"/>
  <c r="I99" i="29"/>
  <c r="I94" i="29"/>
  <c r="I95" i="29"/>
  <c r="I91" i="29"/>
  <c r="F85" i="29"/>
  <c r="I85" i="29" s="1"/>
  <c r="I84" i="29"/>
  <c r="I67" i="29"/>
  <c r="I66" i="29"/>
  <c r="K68" i="29" l="1"/>
  <c r="K69" i="29" s="1"/>
  <c r="F96" i="29"/>
  <c r="I96" i="29" l="1"/>
  <c r="F97" i="29"/>
  <c r="F187" i="24"/>
  <c r="G171" i="24"/>
  <c r="H173" i="24" s="1"/>
  <c r="F162" i="24"/>
  <c r="E162" i="24"/>
  <c r="F139" i="24"/>
  <c r="G123" i="24"/>
  <c r="H125" i="24" s="1"/>
  <c r="E114" i="24"/>
  <c r="G114" i="24" s="1"/>
  <c r="H120" i="24" s="1"/>
  <c r="F91" i="24"/>
  <c r="G75" i="24"/>
  <c r="H77" i="24" s="1"/>
  <c r="E66" i="24"/>
  <c r="G66" i="24" s="1"/>
  <c r="H72" i="24" s="1"/>
  <c r="F43" i="24"/>
  <c r="H37" i="24"/>
  <c r="G12" i="24" s="1"/>
  <c r="H15" i="24" s="1"/>
  <c r="G27" i="24"/>
  <c r="H29" i="24" s="1"/>
  <c r="G18" i="24"/>
  <c r="H24" i="24" s="1"/>
  <c r="F285" i="10"/>
  <c r="F275" i="10"/>
  <c r="G269" i="10"/>
  <c r="H271" i="10" s="1"/>
  <c r="E260" i="10"/>
  <c r="G260" i="10" s="1"/>
  <c r="F255" i="10"/>
  <c r="E255" i="10"/>
  <c r="F237" i="10"/>
  <c r="F227" i="10"/>
  <c r="G221" i="10"/>
  <c r="H223" i="10" s="1"/>
  <c r="I223" i="10" s="1"/>
  <c r="F213" i="10"/>
  <c r="E212" i="10"/>
  <c r="G212" i="10" s="1"/>
  <c r="F207" i="10"/>
  <c r="G207" i="10" s="1"/>
  <c r="E207" i="10"/>
  <c r="F189" i="10"/>
  <c r="F179" i="10"/>
  <c r="L174" i="10"/>
  <c r="E174" i="10"/>
  <c r="G174" i="10" s="1"/>
  <c r="L173" i="10"/>
  <c r="G173" i="10"/>
  <c r="E168" i="10"/>
  <c r="G168" i="10" s="1"/>
  <c r="E167" i="10"/>
  <c r="G167" i="10" s="1"/>
  <c r="E166" i="10"/>
  <c r="G166" i="10" s="1"/>
  <c r="E165" i="10"/>
  <c r="G165" i="10" s="1"/>
  <c r="E164" i="10"/>
  <c r="G164" i="10" s="1"/>
  <c r="E163" i="10"/>
  <c r="G163" i="10" s="1"/>
  <c r="E162" i="10"/>
  <c r="G162" i="10" s="1"/>
  <c r="F139" i="10"/>
  <c r="H133" i="10"/>
  <c r="G108" i="10" s="1"/>
  <c r="H111" i="10" s="1"/>
  <c r="L124" i="10"/>
  <c r="L125" i="10" s="1"/>
  <c r="L123" i="10"/>
  <c r="G123" i="10"/>
  <c r="J114" i="10"/>
  <c r="G114" i="10"/>
  <c r="H120" i="10" s="1"/>
  <c r="F91" i="10"/>
  <c r="H85" i="10"/>
  <c r="G60" i="10" s="1"/>
  <c r="H63" i="10" s="1"/>
  <c r="L76" i="10"/>
  <c r="L75" i="10"/>
  <c r="G75" i="10"/>
  <c r="J66" i="10"/>
  <c r="G66" i="10"/>
  <c r="H72" i="10" s="1"/>
  <c r="F43" i="10"/>
  <c r="H37" i="10"/>
  <c r="G12" i="10" s="1"/>
  <c r="H15" i="10" s="1"/>
  <c r="G27" i="10"/>
  <c r="J18" i="10"/>
  <c r="G18" i="10"/>
  <c r="H24" i="10" s="1"/>
  <c r="F43" i="25"/>
  <c r="G28" i="25"/>
  <c r="G27" i="25"/>
  <c r="G19" i="25"/>
  <c r="G18" i="25"/>
  <c r="G14" i="25"/>
  <c r="G13" i="25"/>
  <c r="F91" i="14"/>
  <c r="G75" i="14"/>
  <c r="H77" i="14" s="1"/>
  <c r="G67" i="14"/>
  <c r="G66" i="14"/>
  <c r="G62" i="14"/>
  <c r="G61" i="14"/>
  <c r="F43" i="14"/>
  <c r="G28" i="14"/>
  <c r="G27" i="14"/>
  <c r="G19" i="14"/>
  <c r="G18" i="14"/>
  <c r="G14" i="14"/>
  <c r="G13" i="14"/>
  <c r="F188" i="8"/>
  <c r="F178" i="8"/>
  <c r="E173" i="8"/>
  <c r="G173" i="8" s="1"/>
  <c r="G172" i="8"/>
  <c r="G164" i="8"/>
  <c r="F163" i="8"/>
  <c r="E163" i="8"/>
  <c r="E158" i="8"/>
  <c r="G158" i="8" s="1"/>
  <c r="F140" i="8"/>
  <c r="F130" i="8"/>
  <c r="E125" i="8"/>
  <c r="G125" i="8" s="1"/>
  <c r="G124" i="8"/>
  <c r="G116" i="8"/>
  <c r="E115" i="8"/>
  <c r="F114" i="8"/>
  <c r="F115" i="8" s="1"/>
  <c r="E114" i="8"/>
  <c r="E109" i="8"/>
  <c r="G109" i="8" s="1"/>
  <c r="F91" i="8"/>
  <c r="F81" i="8"/>
  <c r="G76" i="8"/>
  <c r="G75" i="8"/>
  <c r="G67" i="8"/>
  <c r="F66" i="8"/>
  <c r="E66" i="8"/>
  <c r="G61" i="8"/>
  <c r="E61" i="8"/>
  <c r="F43" i="8"/>
  <c r="G28" i="8"/>
  <c r="H29" i="8" s="1"/>
  <c r="F19" i="8"/>
  <c r="G19" i="8" s="1"/>
  <c r="E19" i="8"/>
  <c r="E13" i="8"/>
  <c r="G13" i="8" s="1"/>
  <c r="F571" i="7"/>
  <c r="H565" i="7"/>
  <c r="G541" i="7" s="1"/>
  <c r="H544" i="7" s="1"/>
  <c r="G557" i="7"/>
  <c r="G556" i="7"/>
  <c r="G549" i="7"/>
  <c r="G548" i="7"/>
  <c r="E547" i="7"/>
  <c r="G547" i="7" s="1"/>
  <c r="F523" i="7"/>
  <c r="H517" i="7"/>
  <c r="G493" i="7" s="1"/>
  <c r="H496" i="7" s="1"/>
  <c r="G509" i="7"/>
  <c r="G508" i="7"/>
  <c r="G501" i="7"/>
  <c r="G500" i="7"/>
  <c r="E499" i="7"/>
  <c r="G499" i="7" s="1"/>
  <c r="F475" i="7"/>
  <c r="F466" i="7"/>
  <c r="G453" i="7"/>
  <c r="F451" i="7"/>
  <c r="F452" i="7" s="1"/>
  <c r="F446" i="7"/>
  <c r="G446" i="7" s="1"/>
  <c r="F427" i="7"/>
  <c r="F418" i="7"/>
  <c r="G405" i="7"/>
  <c r="F403" i="7"/>
  <c r="F412" i="7" s="1"/>
  <c r="G412" i="7" s="1"/>
  <c r="F398" i="7"/>
  <c r="G398" i="7" s="1"/>
  <c r="F379" i="7"/>
  <c r="G365" i="7"/>
  <c r="G364" i="7"/>
  <c r="G357" i="7"/>
  <c r="G356" i="7"/>
  <c r="F355" i="7"/>
  <c r="G355" i="7" s="1"/>
  <c r="E355" i="7"/>
  <c r="G350" i="7"/>
  <c r="F331" i="7"/>
  <c r="F322" i="7"/>
  <c r="E317" i="7"/>
  <c r="G317" i="7" s="1"/>
  <c r="G316" i="7"/>
  <c r="G310" i="7"/>
  <c r="F309" i="7"/>
  <c r="G309" i="7" s="1"/>
  <c r="F308" i="7"/>
  <c r="E308" i="7"/>
  <c r="G308" i="7" s="1"/>
  <c r="G307" i="7"/>
  <c r="F302" i="7"/>
  <c r="E302" i="7"/>
  <c r="F283" i="7"/>
  <c r="F274" i="7"/>
  <c r="E269" i="7"/>
  <c r="G269" i="7" s="1"/>
  <c r="H270" i="7" s="1"/>
  <c r="G268" i="7"/>
  <c r="G262" i="7"/>
  <c r="F261" i="7"/>
  <c r="G261" i="7" s="1"/>
  <c r="F260" i="7"/>
  <c r="E260" i="7"/>
  <c r="G259" i="7"/>
  <c r="F254" i="7"/>
  <c r="E254" i="7"/>
  <c r="F235" i="7"/>
  <c r="F225" i="7"/>
  <c r="F219" i="7"/>
  <c r="G219" i="7" s="1"/>
  <c r="H221" i="7" s="1"/>
  <c r="F187" i="7"/>
  <c r="F178" i="7"/>
  <c r="F173" i="7"/>
  <c r="G173" i="7" s="1"/>
  <c r="G172" i="7"/>
  <c r="G166" i="7"/>
  <c r="E165" i="7"/>
  <c r="G165" i="7" s="1"/>
  <c r="F164" i="7"/>
  <c r="G164" i="7" s="1"/>
  <c r="G163" i="7"/>
  <c r="F158" i="7"/>
  <c r="G158" i="7" s="1"/>
  <c r="F139" i="7"/>
  <c r="F130" i="7"/>
  <c r="F125" i="7"/>
  <c r="E125" i="7"/>
  <c r="G124" i="7"/>
  <c r="G118" i="7"/>
  <c r="E117" i="7"/>
  <c r="G117" i="7" s="1"/>
  <c r="F116" i="7"/>
  <c r="G116" i="7" s="1"/>
  <c r="G115" i="7"/>
  <c r="F110" i="7"/>
  <c r="G110" i="7" s="1"/>
  <c r="F91" i="7"/>
  <c r="F82" i="7"/>
  <c r="F77" i="7"/>
  <c r="G77" i="7" s="1"/>
  <c r="G76" i="7"/>
  <c r="G70" i="7"/>
  <c r="E69" i="7"/>
  <c r="G69" i="7" s="1"/>
  <c r="F68" i="7"/>
  <c r="G68" i="7" s="1"/>
  <c r="G67" i="7"/>
  <c r="F62" i="7"/>
  <c r="G62" i="7" s="1"/>
  <c r="F43" i="7"/>
  <c r="F34" i="7"/>
  <c r="F29" i="7"/>
  <c r="G29" i="7" s="1"/>
  <c r="G28" i="7"/>
  <c r="G22" i="7"/>
  <c r="I21" i="7"/>
  <c r="J21" i="7" s="1"/>
  <c r="E21" i="7"/>
  <c r="G21" i="7" s="1"/>
  <c r="F20" i="7"/>
  <c r="G20" i="7" s="1"/>
  <c r="G19" i="7"/>
  <c r="F14" i="7"/>
  <c r="G14" i="7" s="1"/>
  <c r="F284" i="9"/>
  <c r="E274" i="9"/>
  <c r="G274" i="9" s="1"/>
  <c r="E273" i="9"/>
  <c r="G273" i="9" s="1"/>
  <c r="E268" i="9"/>
  <c r="G268" i="9" s="1"/>
  <c r="H270" i="9" s="1"/>
  <c r="E262" i="9"/>
  <c r="G262" i="9" s="1"/>
  <c r="E261" i="9"/>
  <c r="G261" i="9" s="1"/>
  <c r="E260" i="9"/>
  <c r="G260" i="9" s="1"/>
  <c r="E259" i="9"/>
  <c r="G259" i="9" s="1"/>
  <c r="G258" i="9"/>
  <c r="F253" i="9"/>
  <c r="G253" i="9" s="1"/>
  <c r="F235" i="9"/>
  <c r="F225" i="9"/>
  <c r="E225" i="9"/>
  <c r="E224" i="9"/>
  <c r="G224" i="9" s="1"/>
  <c r="E219" i="9"/>
  <c r="G219" i="9" s="1"/>
  <c r="H221" i="9" s="1"/>
  <c r="E213" i="9"/>
  <c r="G213" i="9" s="1"/>
  <c r="E212" i="9"/>
  <c r="G212" i="9" s="1"/>
  <c r="E211" i="9"/>
  <c r="G211" i="9" s="1"/>
  <c r="E210" i="9"/>
  <c r="G210" i="9" s="1"/>
  <c r="E206" i="9"/>
  <c r="F205" i="9"/>
  <c r="G205" i="9" s="1"/>
  <c r="F187" i="9"/>
  <c r="H181" i="9"/>
  <c r="G156" i="9" s="1"/>
  <c r="H173" i="9"/>
  <c r="E162" i="9"/>
  <c r="G162" i="9" s="1"/>
  <c r="H168" i="9" s="1"/>
  <c r="G157" i="9"/>
  <c r="F139" i="9"/>
  <c r="H133" i="9"/>
  <c r="G108" i="9" s="1"/>
  <c r="H125" i="9"/>
  <c r="E114" i="9"/>
  <c r="G114" i="9" s="1"/>
  <c r="H120" i="9" s="1"/>
  <c r="G109" i="9"/>
  <c r="F91" i="9"/>
  <c r="H85" i="9"/>
  <c r="G60" i="9" s="1"/>
  <c r="H77" i="9"/>
  <c r="G66" i="9"/>
  <c r="G68" i="9" s="1"/>
  <c r="G61" i="9"/>
  <c r="F43" i="9"/>
  <c r="H37" i="9"/>
  <c r="G12" i="9" s="1"/>
  <c r="G27" i="9"/>
  <c r="H29" i="9" s="1"/>
  <c r="G18" i="9"/>
  <c r="G13" i="9"/>
  <c r="F893" i="20"/>
  <c r="F883" i="20"/>
  <c r="F878" i="20"/>
  <c r="G878" i="20" s="1"/>
  <c r="F877" i="20"/>
  <c r="G877" i="20" s="1"/>
  <c r="G869" i="20"/>
  <c r="E868" i="20"/>
  <c r="G868" i="20" s="1"/>
  <c r="F867" i="20"/>
  <c r="G867" i="20" s="1"/>
  <c r="E866" i="20"/>
  <c r="F865" i="20"/>
  <c r="F866" i="20" s="1"/>
  <c r="E865" i="20"/>
  <c r="E864" i="20"/>
  <c r="G864" i="20" s="1"/>
  <c r="E863" i="20"/>
  <c r="G863" i="20" s="1"/>
  <c r="F862" i="20"/>
  <c r="E862" i="20"/>
  <c r="F857" i="20"/>
  <c r="E857" i="20"/>
  <c r="F573" i="20"/>
  <c r="F475" i="20"/>
  <c r="F465" i="20"/>
  <c r="G460" i="20"/>
  <c r="F452" i="20"/>
  <c r="G452" i="20" s="1"/>
  <c r="E451" i="20"/>
  <c r="F450" i="20"/>
  <c r="F451" i="20" s="1"/>
  <c r="E450" i="20"/>
  <c r="E449" i="20"/>
  <c r="F448" i="20"/>
  <c r="F449" i="20" s="1"/>
  <c r="E448" i="20"/>
  <c r="E447" i="20"/>
  <c r="G447" i="20" s="1"/>
  <c r="G441" i="20"/>
  <c r="F423" i="20"/>
  <c r="F413" i="20"/>
  <c r="G408" i="20"/>
  <c r="G407" i="20"/>
  <c r="F400" i="20"/>
  <c r="E400" i="20"/>
  <c r="F399" i="20"/>
  <c r="E399" i="20"/>
  <c r="G393" i="20"/>
  <c r="F375" i="20"/>
  <c r="F365" i="20"/>
  <c r="G360" i="20"/>
  <c r="G359" i="20"/>
  <c r="F352" i="20"/>
  <c r="E352" i="20"/>
  <c r="F351" i="20"/>
  <c r="E351" i="20"/>
  <c r="G345" i="20"/>
  <c r="F327" i="20"/>
  <c r="I318" i="20"/>
  <c r="F317" i="20"/>
  <c r="G312" i="20"/>
  <c r="G311" i="20"/>
  <c r="F304" i="20"/>
  <c r="E304" i="20"/>
  <c r="F303" i="20"/>
  <c r="E303" i="20"/>
  <c r="G297" i="20"/>
  <c r="D218" i="1"/>
  <c r="F218" i="1" s="1"/>
  <c r="D217" i="1"/>
  <c r="F217" i="1" s="1"/>
  <c r="D215" i="1"/>
  <c r="F215" i="1" s="1"/>
  <c r="D206" i="1"/>
  <c r="F206" i="1" s="1"/>
  <c r="D205" i="1"/>
  <c r="F205" i="1" s="1"/>
  <c r="D204" i="1"/>
  <c r="F204" i="1" s="1"/>
  <c r="D203" i="1"/>
  <c r="F203" i="1" s="1"/>
  <c r="D186" i="1"/>
  <c r="D165" i="1"/>
  <c r="F165" i="1" s="1"/>
  <c r="D164" i="1"/>
  <c r="F164" i="1" s="1"/>
  <c r="D141" i="1"/>
  <c r="F141" i="1" s="1"/>
  <c r="D59" i="1"/>
  <c r="F59" i="1" s="1"/>
  <c r="D52" i="1"/>
  <c r="F52" i="1" s="1"/>
  <c r="D31" i="1"/>
  <c r="F31" i="1" s="1"/>
  <c r="D30" i="1"/>
  <c r="F30" i="1" s="1"/>
  <c r="D20" i="1"/>
  <c r="F20" i="1" s="1"/>
  <c r="C24" i="13"/>
  <c r="C23" i="13"/>
  <c r="C18" i="13"/>
  <c r="C17" i="13"/>
  <c r="E65" i="12" s="1"/>
  <c r="C16" i="13"/>
  <c r="C15" i="13"/>
  <c r="E133" i="20" s="1"/>
  <c r="G133" i="20" s="1"/>
  <c r="C14" i="13"/>
  <c r="C11" i="13"/>
  <c r="F1990" i="16"/>
  <c r="G1974" i="16"/>
  <c r="H1976" i="16" s="1"/>
  <c r="G1965" i="16"/>
  <c r="H1971" i="16" s="1"/>
  <c r="G1961" i="16"/>
  <c r="G1960" i="16"/>
  <c r="G1959" i="16"/>
  <c r="F1942" i="16"/>
  <c r="G1926" i="16"/>
  <c r="H1928" i="16" s="1"/>
  <c r="G1917" i="16"/>
  <c r="H1923" i="16" s="1"/>
  <c r="G1913" i="16"/>
  <c r="G1912" i="16"/>
  <c r="G1911" i="16"/>
  <c r="F1894" i="16"/>
  <c r="G1878" i="16"/>
  <c r="H1880" i="16" s="1"/>
  <c r="G1869" i="16"/>
  <c r="H1875" i="16" s="1"/>
  <c r="G1865" i="16"/>
  <c r="G1864" i="16"/>
  <c r="G1863" i="16"/>
  <c r="F1846" i="16"/>
  <c r="G1830" i="16"/>
  <c r="H1832" i="16" s="1"/>
  <c r="G1826" i="16"/>
  <c r="G1825" i="16"/>
  <c r="G1824" i="16"/>
  <c r="G1823" i="16"/>
  <c r="G1822" i="16"/>
  <c r="G1818" i="16"/>
  <c r="F1817" i="16"/>
  <c r="E1817" i="16"/>
  <c r="F1799" i="16"/>
  <c r="G1783" i="16"/>
  <c r="H1785" i="16" s="1"/>
  <c r="G1779" i="16"/>
  <c r="G1778" i="16"/>
  <c r="G1777" i="16"/>
  <c r="G1776" i="16"/>
  <c r="F1775" i="16"/>
  <c r="G1774" i="16"/>
  <c r="G1773" i="16"/>
  <c r="G1772" i="16"/>
  <c r="G1771" i="16"/>
  <c r="F1770" i="16"/>
  <c r="G1770" i="16" s="1"/>
  <c r="G1769" i="16"/>
  <c r="G1768" i="16"/>
  <c r="G1764" i="16"/>
  <c r="G1763" i="16"/>
  <c r="F1745" i="16"/>
  <c r="G1729" i="16"/>
  <c r="H1731" i="16" s="1"/>
  <c r="G1725" i="16"/>
  <c r="G1724" i="16"/>
  <c r="G1723" i="16"/>
  <c r="G1722" i="16"/>
  <c r="G1721" i="16"/>
  <c r="F1720" i="16"/>
  <c r="G1719" i="16"/>
  <c r="G1718" i="16"/>
  <c r="G1717" i="16"/>
  <c r="G1716" i="16"/>
  <c r="F1715" i="16"/>
  <c r="G1715" i="16" s="1"/>
  <c r="G1714" i="16"/>
  <c r="G1710" i="16"/>
  <c r="G1709" i="16"/>
  <c r="G1675" i="16"/>
  <c r="H1677" i="16" s="1"/>
  <c r="G1671" i="16"/>
  <c r="G1670" i="16"/>
  <c r="G1669" i="16"/>
  <c r="G1668" i="16"/>
  <c r="F1667" i="16"/>
  <c r="G1666" i="16"/>
  <c r="F1665" i="16"/>
  <c r="G1665" i="16" s="1"/>
  <c r="G1664" i="16"/>
  <c r="G1663" i="16"/>
  <c r="F1662" i="16"/>
  <c r="G1662" i="16" s="1"/>
  <c r="G1661" i="16"/>
  <c r="G1660" i="16"/>
  <c r="G1656" i="16"/>
  <c r="G1655" i="16"/>
  <c r="F1637" i="16"/>
  <c r="G1621" i="16"/>
  <c r="H1623" i="16" s="1"/>
  <c r="G1617" i="16"/>
  <c r="G1616" i="16"/>
  <c r="G1615" i="16"/>
  <c r="G1614" i="16"/>
  <c r="F1613" i="16"/>
  <c r="G1612" i="16"/>
  <c r="G1611" i="16"/>
  <c r="G1610" i="16"/>
  <c r="G1609" i="16"/>
  <c r="G1608" i="16"/>
  <c r="G1607" i="16"/>
  <c r="G1606" i="16"/>
  <c r="G1602" i="16"/>
  <c r="G1601" i="16"/>
  <c r="F1583" i="16"/>
  <c r="G1567" i="16"/>
  <c r="H1569" i="16" s="1"/>
  <c r="G1561" i="16"/>
  <c r="E1560" i="16"/>
  <c r="G1560" i="16" s="1"/>
  <c r="G1559" i="16"/>
  <c r="G1555" i="16"/>
  <c r="G1554" i="16"/>
  <c r="G1553" i="16"/>
  <c r="F1536" i="16"/>
  <c r="G1520" i="16"/>
  <c r="H1522" i="16" s="1"/>
  <c r="G1516" i="16"/>
  <c r="G1515" i="16"/>
  <c r="G1514" i="16"/>
  <c r="G1513" i="16"/>
  <c r="G1512" i="16"/>
  <c r="G1511" i="16"/>
  <c r="G1507" i="16"/>
  <c r="G1506" i="16"/>
  <c r="G1505" i="16"/>
  <c r="F1488" i="16"/>
  <c r="F1466" i="16"/>
  <c r="G1462" i="16"/>
  <c r="G1461" i="16"/>
  <c r="G1460" i="16"/>
  <c r="F1443" i="16"/>
  <c r="G1427" i="16"/>
  <c r="H1429" i="16" s="1"/>
  <c r="G1420" i="16"/>
  <c r="G1419" i="16"/>
  <c r="G1418" i="16"/>
  <c r="G1414" i="16"/>
  <c r="G1413" i="16"/>
  <c r="G1412" i="16"/>
  <c r="F1395" i="16"/>
  <c r="H1381" i="16"/>
  <c r="G1370" i="16"/>
  <c r="H1376" i="16" s="1"/>
  <c r="G1366" i="16"/>
  <c r="F1347" i="16"/>
  <c r="G1331" i="16"/>
  <c r="H1333" i="16" s="1"/>
  <c r="G1324" i="16"/>
  <c r="G1323" i="16"/>
  <c r="G1322" i="16"/>
  <c r="G1318" i="16"/>
  <c r="G1317" i="16"/>
  <c r="G1316" i="16"/>
  <c r="F1299" i="16"/>
  <c r="H1285" i="16"/>
  <c r="G1275" i="16"/>
  <c r="F1274" i="16"/>
  <c r="G1270" i="16"/>
  <c r="G1269" i="16"/>
  <c r="G1252" i="16"/>
  <c r="F1251" i="16"/>
  <c r="G1251" i="16" s="1"/>
  <c r="F1203" i="16"/>
  <c r="G1179" i="16"/>
  <c r="H1184" i="16" s="1"/>
  <c r="G1175" i="16"/>
  <c r="F1156" i="16"/>
  <c r="F1146" i="16"/>
  <c r="G1140" i="16"/>
  <c r="H1142" i="16" s="1"/>
  <c r="E1132" i="16"/>
  <c r="G1132" i="16" s="1"/>
  <c r="E1131" i="16"/>
  <c r="G1131" i="16" s="1"/>
  <c r="G1127" i="16"/>
  <c r="G1126" i="16"/>
  <c r="F1108" i="16"/>
  <c r="G1092" i="16"/>
  <c r="H1094" i="16" s="1"/>
  <c r="G1085" i="16"/>
  <c r="G1084" i="16"/>
  <c r="G1083" i="16"/>
  <c r="G1079" i="16"/>
  <c r="G1078" i="16"/>
  <c r="G1077" i="16"/>
  <c r="F1060" i="16"/>
  <c r="G1044" i="16"/>
  <c r="H1046" i="16" s="1"/>
  <c r="G1037" i="16"/>
  <c r="G1036" i="16"/>
  <c r="G1035" i="16"/>
  <c r="G1031" i="16"/>
  <c r="F1030" i="16"/>
  <c r="E1030" i="16"/>
  <c r="F1012" i="16"/>
  <c r="G996" i="16"/>
  <c r="H998" i="16" s="1"/>
  <c r="G988" i="16"/>
  <c r="G987" i="16"/>
  <c r="G983" i="16"/>
  <c r="F982" i="16"/>
  <c r="E982" i="16"/>
  <c r="F964" i="16"/>
  <c r="G948" i="16"/>
  <c r="H950" i="16" s="1"/>
  <c r="G939" i="16"/>
  <c r="H945" i="16" s="1"/>
  <c r="G935" i="16"/>
  <c r="G934" i="16"/>
  <c r="G933" i="16"/>
  <c r="F916" i="16"/>
  <c r="G900" i="16"/>
  <c r="H902" i="16" s="1"/>
  <c r="G896" i="16"/>
  <c r="G895" i="16"/>
  <c r="G894" i="16"/>
  <c r="G893" i="16"/>
  <c r="G892" i="16"/>
  <c r="G891" i="16"/>
  <c r="G887" i="16"/>
  <c r="G886" i="16"/>
  <c r="F868" i="16"/>
  <c r="G852" i="16"/>
  <c r="H854" i="16" s="1"/>
  <c r="G848" i="16"/>
  <c r="G847" i="16"/>
  <c r="G846" i="16"/>
  <c r="F845" i="16"/>
  <c r="G844" i="16"/>
  <c r="G843" i="16"/>
  <c r="G839" i="16"/>
  <c r="G838" i="16"/>
  <c r="F820" i="16"/>
  <c r="G804" i="16"/>
  <c r="H806" i="16" s="1"/>
  <c r="G800" i="16"/>
  <c r="G799" i="16"/>
  <c r="G798" i="16"/>
  <c r="F797" i="16"/>
  <c r="G797" i="16" s="1"/>
  <c r="G796" i="16"/>
  <c r="G795" i="16"/>
  <c r="G791" i="16"/>
  <c r="G790" i="16"/>
  <c r="F772" i="16"/>
  <c r="G756" i="16"/>
  <c r="H758" i="16" s="1"/>
  <c r="G752" i="16"/>
  <c r="G751" i="16"/>
  <c r="G750" i="16"/>
  <c r="F749" i="16"/>
  <c r="G748" i="16"/>
  <c r="G747" i="16"/>
  <c r="G743" i="16"/>
  <c r="G742" i="16"/>
  <c r="F724" i="16"/>
  <c r="H710" i="16"/>
  <c r="G700" i="16"/>
  <c r="G699" i="16"/>
  <c r="G695" i="16"/>
  <c r="F676" i="16"/>
  <c r="G660" i="16"/>
  <c r="H662" i="16" s="1"/>
  <c r="G654" i="16"/>
  <c r="G652" i="16"/>
  <c r="G648" i="16"/>
  <c r="G647" i="16"/>
  <c r="F628" i="16"/>
  <c r="G612" i="16"/>
  <c r="H614" i="16" s="1"/>
  <c r="E604" i="16"/>
  <c r="G604" i="16" s="1"/>
  <c r="G602" i="16"/>
  <c r="G598" i="16"/>
  <c r="F596" i="16"/>
  <c r="F597" i="16" s="1"/>
  <c r="G597" i="16" s="1"/>
  <c r="E596" i="16"/>
  <c r="F578" i="16"/>
  <c r="G562" i="16"/>
  <c r="H564" i="16" s="1"/>
  <c r="G553" i="16"/>
  <c r="G551" i="16"/>
  <c r="G547" i="16"/>
  <c r="F527" i="16"/>
  <c r="G511" i="16"/>
  <c r="H513" i="16" s="1"/>
  <c r="G502" i="16"/>
  <c r="G500" i="16"/>
  <c r="G496" i="16"/>
  <c r="F494" i="16"/>
  <c r="F476" i="16"/>
  <c r="G460" i="16"/>
  <c r="H462" i="16" s="1"/>
  <c r="G454" i="16"/>
  <c r="G453" i="16"/>
  <c r="E452" i="16"/>
  <c r="G452" i="16" s="1"/>
  <c r="G451" i="16"/>
  <c r="G447" i="16"/>
  <c r="G446" i="16"/>
  <c r="G445" i="16"/>
  <c r="F428" i="16"/>
  <c r="G412" i="16"/>
  <c r="H414" i="16" s="1"/>
  <c r="F403" i="16"/>
  <c r="G399" i="16"/>
  <c r="E398" i="16"/>
  <c r="F380" i="16"/>
  <c r="H366" i="16"/>
  <c r="G355" i="16"/>
  <c r="H361" i="16" s="1"/>
  <c r="G351" i="16"/>
  <c r="F332" i="16"/>
  <c r="F322" i="16"/>
  <c r="G316" i="16"/>
  <c r="H318" i="16" s="1"/>
  <c r="G308" i="16"/>
  <c r="E307" i="16"/>
  <c r="G307" i="16" s="1"/>
  <c r="G303" i="16"/>
  <c r="G302" i="16"/>
  <c r="F284" i="16"/>
  <c r="G268" i="16"/>
  <c r="H270" i="16" s="1"/>
  <c r="G261" i="16"/>
  <c r="E260" i="16"/>
  <c r="G260" i="16" s="1"/>
  <c r="E259" i="16"/>
  <c r="G259" i="16" s="1"/>
  <c r="G255" i="16"/>
  <c r="G254" i="16"/>
  <c r="G253" i="16"/>
  <c r="F236" i="16"/>
  <c r="G220" i="16"/>
  <c r="H222" i="16" s="1"/>
  <c r="F211" i="16"/>
  <c r="F212" i="16" s="1"/>
  <c r="G212" i="16" s="1"/>
  <c r="G207" i="16"/>
  <c r="F206" i="16"/>
  <c r="E206" i="16"/>
  <c r="G205" i="16"/>
  <c r="F188" i="16"/>
  <c r="G172" i="16"/>
  <c r="H174" i="16" s="1"/>
  <c r="F165" i="16"/>
  <c r="G165" i="16" s="1"/>
  <c r="G164" i="16"/>
  <c r="E163" i="16"/>
  <c r="G163" i="16" s="1"/>
  <c r="G159" i="16"/>
  <c r="G158" i="16"/>
  <c r="G157" i="16"/>
  <c r="F140" i="16"/>
  <c r="G124" i="16"/>
  <c r="H126" i="16" s="1"/>
  <c r="G114" i="16"/>
  <c r="H120" i="16" s="1"/>
  <c r="G110" i="16"/>
  <c r="F91" i="16"/>
  <c r="G75" i="16"/>
  <c r="H77" i="16" s="1"/>
  <c r="E69" i="16"/>
  <c r="G69" i="16" s="1"/>
  <c r="G68" i="16"/>
  <c r="E67" i="16"/>
  <c r="G67" i="16" s="1"/>
  <c r="G66" i="16"/>
  <c r="G62" i="16"/>
  <c r="F61" i="16"/>
  <c r="E61" i="16"/>
  <c r="G60" i="16"/>
  <c r="F43" i="16"/>
  <c r="G27" i="16"/>
  <c r="H29" i="16" s="1"/>
  <c r="G19" i="16"/>
  <c r="G18" i="16"/>
  <c r="G14" i="16"/>
  <c r="F13" i="16"/>
  <c r="E13" i="16"/>
  <c r="G12" i="16"/>
  <c r="F90" i="2"/>
  <c r="F80" i="2"/>
  <c r="F75" i="2"/>
  <c r="G75" i="2" s="1"/>
  <c r="F74" i="2"/>
  <c r="G74" i="2" s="1"/>
  <c r="F66" i="2"/>
  <c r="E65" i="2"/>
  <c r="G65" i="2" s="1"/>
  <c r="E60" i="2"/>
  <c r="G60" i="2" s="1"/>
  <c r="F43" i="2"/>
  <c r="F28" i="2"/>
  <c r="G28" i="2" s="1"/>
  <c r="F27" i="2"/>
  <c r="G27" i="2" s="1"/>
  <c r="G20" i="2"/>
  <c r="F19" i="2"/>
  <c r="G18" i="2"/>
  <c r="E14" i="2"/>
  <c r="G13" i="2"/>
  <c r="F137" i="12"/>
  <c r="G121" i="12"/>
  <c r="H123" i="12" s="1"/>
  <c r="G113" i="12"/>
  <c r="G112" i="12"/>
  <c r="F107" i="12"/>
  <c r="E107" i="12"/>
  <c r="F90" i="12"/>
  <c r="G74" i="12"/>
  <c r="H76" i="12" s="1"/>
  <c r="G66" i="12"/>
  <c r="F65" i="12"/>
  <c r="F60" i="12"/>
  <c r="E60" i="12"/>
  <c r="G60" i="12" s="1"/>
  <c r="F43" i="12"/>
  <c r="F33" i="12"/>
  <c r="G27" i="12"/>
  <c r="H29" i="12" s="1"/>
  <c r="F19" i="12"/>
  <c r="E19" i="12"/>
  <c r="F14" i="12"/>
  <c r="E14" i="12"/>
  <c r="G14" i="12" s="1"/>
  <c r="F13" i="12"/>
  <c r="E13" i="12"/>
  <c r="G13" i="12" s="1"/>
  <c r="F469" i="19"/>
  <c r="F459" i="19"/>
  <c r="F444" i="19"/>
  <c r="E444" i="19"/>
  <c r="F438" i="19"/>
  <c r="F439" i="19" s="1"/>
  <c r="E438" i="19"/>
  <c r="F421" i="19"/>
  <c r="F411" i="19"/>
  <c r="F406" i="19"/>
  <c r="G405" i="19"/>
  <c r="H407" i="19" s="1"/>
  <c r="H400" i="19"/>
  <c r="F398" i="19"/>
  <c r="G398" i="19" s="1"/>
  <c r="F397" i="19"/>
  <c r="E397" i="19"/>
  <c r="E396" i="19"/>
  <c r="G396" i="19" s="1"/>
  <c r="G392" i="19"/>
  <c r="G391" i="19"/>
  <c r="F329" i="19"/>
  <c r="F319" i="19"/>
  <c r="G314" i="19"/>
  <c r="G313" i="19"/>
  <c r="E303" i="19"/>
  <c r="G302" i="19"/>
  <c r="F298" i="19"/>
  <c r="G298" i="19" s="1"/>
  <c r="E297" i="19"/>
  <c r="G297" i="19" s="1"/>
  <c r="F280" i="19"/>
  <c r="F270" i="19"/>
  <c r="F265" i="19"/>
  <c r="G265" i="19" s="1"/>
  <c r="F256" i="19"/>
  <c r="F255" i="19"/>
  <c r="G255" i="19" s="1"/>
  <c r="F254" i="19"/>
  <c r="G254" i="19" s="1"/>
  <c r="F253" i="19"/>
  <c r="F264" i="19" s="1"/>
  <c r="G264" i="19" s="1"/>
  <c r="G249" i="19"/>
  <c r="F248" i="19"/>
  <c r="E248" i="19"/>
  <c r="F231" i="19"/>
  <c r="G215" i="19"/>
  <c r="H217" i="19" s="1"/>
  <c r="G207" i="19"/>
  <c r="G202" i="19"/>
  <c r="E201" i="19"/>
  <c r="G201" i="19" s="1"/>
  <c r="F184" i="19"/>
  <c r="F168" i="19"/>
  <c r="G168" i="19" s="1"/>
  <c r="H170" i="19" s="1"/>
  <c r="F160" i="19"/>
  <c r="E160" i="19"/>
  <c r="G155" i="19"/>
  <c r="E154" i="19"/>
  <c r="G154" i="19" s="1"/>
  <c r="F137" i="19"/>
  <c r="F127" i="19"/>
  <c r="G121" i="19"/>
  <c r="H123" i="19" s="1"/>
  <c r="F113" i="19"/>
  <c r="G113" i="19" s="1"/>
  <c r="F112" i="19"/>
  <c r="G108" i="19"/>
  <c r="E107" i="19"/>
  <c r="G107" i="19" s="1"/>
  <c r="F90" i="19"/>
  <c r="F80" i="19"/>
  <c r="F75" i="19"/>
  <c r="G75" i="19" s="1"/>
  <c r="G74" i="19"/>
  <c r="F66" i="19"/>
  <c r="G66" i="19" s="1"/>
  <c r="F61" i="19"/>
  <c r="G61" i="19" s="1"/>
  <c r="E60" i="19"/>
  <c r="G60" i="19" s="1"/>
  <c r="F43" i="19"/>
  <c r="F33" i="19"/>
  <c r="G27" i="19"/>
  <c r="H29" i="19" s="1"/>
  <c r="G19" i="19"/>
  <c r="G14" i="19"/>
  <c r="E13" i="19"/>
  <c r="G13" i="19" s="1"/>
  <c r="F273" i="22"/>
  <c r="G267" i="22"/>
  <c r="H269" i="22" s="1"/>
  <c r="E259" i="22"/>
  <c r="G259" i="22" s="1"/>
  <c r="E258" i="22"/>
  <c r="G258" i="22" s="1"/>
  <c r="G254" i="22"/>
  <c r="G253" i="22"/>
  <c r="F226" i="22"/>
  <c r="E226" i="22"/>
  <c r="E225" i="22"/>
  <c r="G225" i="22" s="1"/>
  <c r="F221" i="22"/>
  <c r="G221" i="22" s="1"/>
  <c r="F220" i="22"/>
  <c r="G220" i="22" s="1"/>
  <c r="G213" i="22"/>
  <c r="G212" i="22"/>
  <c r="E211" i="22"/>
  <c r="G211" i="22" s="1"/>
  <c r="G207" i="22"/>
  <c r="E206" i="22"/>
  <c r="G206" i="22" s="1"/>
  <c r="G205" i="22"/>
  <c r="F188" i="22"/>
  <c r="F178" i="22"/>
  <c r="G170" i="22"/>
  <c r="H173" i="22" s="1"/>
  <c r="G163" i="22"/>
  <c r="G162" i="22"/>
  <c r="G161" i="22"/>
  <c r="F156" i="22"/>
  <c r="F139" i="22"/>
  <c r="F128" i="22"/>
  <c r="G121" i="22"/>
  <c r="H124" i="22" s="1"/>
  <c r="G114" i="22"/>
  <c r="G113" i="22"/>
  <c r="G112" i="22"/>
  <c r="G108" i="22"/>
  <c r="E107" i="22"/>
  <c r="G107" i="22" s="1"/>
  <c r="F90" i="22"/>
  <c r="F80" i="22"/>
  <c r="G74" i="22"/>
  <c r="H76" i="22" s="1"/>
  <c r="G67" i="22"/>
  <c r="G66" i="22"/>
  <c r="G65" i="22"/>
  <c r="G61" i="22"/>
  <c r="G60" i="22"/>
  <c r="F43" i="22"/>
  <c r="F33" i="22"/>
  <c r="G27" i="22"/>
  <c r="H29" i="22" s="1"/>
  <c r="G20" i="22"/>
  <c r="G19" i="22"/>
  <c r="G18" i="22"/>
  <c r="G14" i="22"/>
  <c r="G13" i="22"/>
  <c r="C32" i="6"/>
  <c r="D32" i="6" s="1"/>
  <c r="E32" i="6" s="1"/>
  <c r="F31" i="6"/>
  <c r="C31" i="6"/>
  <c r="B31" i="6"/>
  <c r="B25" i="6"/>
  <c r="B24" i="6"/>
  <c r="B23" i="6"/>
  <c r="B22" i="6"/>
  <c r="B19" i="6"/>
  <c r="B18" i="6"/>
  <c r="B17" i="6"/>
  <c r="D11" i="6"/>
  <c r="B11" i="6"/>
  <c r="D10" i="6"/>
  <c r="B10" i="6"/>
  <c r="D8" i="6"/>
  <c r="B5" i="6"/>
  <c r="B3" i="6"/>
  <c r="D23" i="6" s="1"/>
  <c r="E23" i="6" s="1"/>
  <c r="F224" i="4"/>
  <c r="F208" i="4"/>
  <c r="G208" i="4" s="1"/>
  <c r="H210" i="4" s="1"/>
  <c r="G204" i="4"/>
  <c r="E203" i="4"/>
  <c r="G203" i="4" s="1"/>
  <c r="E201" i="4"/>
  <c r="G201" i="4" s="1"/>
  <c r="G196" i="4"/>
  <c r="F180" i="4"/>
  <c r="D169" i="4"/>
  <c r="F164" i="4"/>
  <c r="G164" i="4" s="1"/>
  <c r="H166" i="4" s="1"/>
  <c r="G160" i="4"/>
  <c r="E159" i="4"/>
  <c r="G159" i="4" s="1"/>
  <c r="E157" i="4"/>
  <c r="G157" i="4" s="1"/>
  <c r="G152" i="4"/>
  <c r="F118" i="4"/>
  <c r="D118" i="4"/>
  <c r="G112" i="4"/>
  <c r="E111" i="4"/>
  <c r="G111" i="4" s="1"/>
  <c r="E110" i="4"/>
  <c r="G110" i="4" s="1"/>
  <c r="G106" i="4"/>
  <c r="F88" i="4"/>
  <c r="F72" i="4"/>
  <c r="D72" i="4"/>
  <c r="G66" i="4"/>
  <c r="F65" i="4"/>
  <c r="E65" i="4"/>
  <c r="E64" i="4"/>
  <c r="G64" i="4" s="1"/>
  <c r="G60" i="4"/>
  <c r="D31" i="4"/>
  <c r="F26" i="4"/>
  <c r="G26" i="4" s="1"/>
  <c r="H28" i="4" s="1"/>
  <c r="G20" i="4"/>
  <c r="E19" i="4"/>
  <c r="G19" i="4" s="1"/>
  <c r="E18" i="4"/>
  <c r="G18" i="4" s="1"/>
  <c r="G14" i="4"/>
  <c r="F179" i="21"/>
  <c r="F169" i="21"/>
  <c r="D169" i="21"/>
  <c r="C169" i="21"/>
  <c r="G163" i="21"/>
  <c r="H165" i="21" s="1"/>
  <c r="G156" i="21"/>
  <c r="G155" i="21"/>
  <c r="G154" i="21"/>
  <c r="G150" i="21"/>
  <c r="G149" i="21"/>
  <c r="F132" i="21"/>
  <c r="F122" i="21"/>
  <c r="D122" i="21"/>
  <c r="C122" i="21"/>
  <c r="G116" i="21"/>
  <c r="H118" i="21" s="1"/>
  <c r="F111" i="21"/>
  <c r="G109" i="21"/>
  <c r="F108" i="21"/>
  <c r="E108" i="21"/>
  <c r="E107" i="21"/>
  <c r="G107" i="21" s="1"/>
  <c r="G103" i="21"/>
  <c r="G102" i="21"/>
  <c r="F92" i="21"/>
  <c r="F82" i="21"/>
  <c r="D82" i="21"/>
  <c r="C82" i="21"/>
  <c r="G75" i="21"/>
  <c r="H78" i="21" s="1"/>
  <c r="G68" i="21"/>
  <c r="G67" i="21"/>
  <c r="G66" i="21"/>
  <c r="G62" i="21"/>
  <c r="F61" i="21"/>
  <c r="G61" i="21" s="1"/>
  <c r="F44" i="21"/>
  <c r="D33" i="21"/>
  <c r="G27" i="21"/>
  <c r="H30" i="21" s="1"/>
  <c r="G20" i="21"/>
  <c r="G19" i="21"/>
  <c r="G18" i="21"/>
  <c r="G14" i="21"/>
  <c r="F13" i="21"/>
  <c r="G13" i="21" s="1"/>
  <c r="C56" i="3"/>
  <c r="C51" i="3"/>
  <c r="C52" i="3" s="1"/>
  <c r="N48" i="3"/>
  <c r="N45" i="3"/>
  <c r="N44" i="3"/>
  <c r="N43" i="3"/>
  <c r="N40" i="3"/>
  <c r="N39" i="3"/>
  <c r="N38" i="3"/>
  <c r="N36" i="3"/>
  <c r="N35" i="3"/>
  <c r="N34" i="3"/>
  <c r="N33" i="3"/>
  <c r="N32" i="3"/>
  <c r="N31" i="3"/>
  <c r="N30" i="3"/>
  <c r="N29" i="3"/>
  <c r="X28" i="3"/>
  <c r="D170" i="1" s="1"/>
  <c r="F170" i="1" s="1"/>
  <c r="N27" i="3"/>
  <c r="X26" i="3"/>
  <c r="N26" i="3"/>
  <c r="X25" i="3"/>
  <c r="N25" i="3"/>
  <c r="X24" i="3"/>
  <c r="N24" i="3"/>
  <c r="C24" i="3"/>
  <c r="AC23" i="3"/>
  <c r="D213" i="1" s="1"/>
  <c r="F213" i="1" s="1"/>
  <c r="X23" i="3"/>
  <c r="D168" i="1" s="1"/>
  <c r="F168" i="1" s="1"/>
  <c r="N23" i="3"/>
  <c r="C23" i="3"/>
  <c r="X22" i="3"/>
  <c r="D167" i="1" s="1"/>
  <c r="F167" i="1" s="1"/>
  <c r="N22" i="3"/>
  <c r="C22" i="3"/>
  <c r="X21" i="3"/>
  <c r="D166" i="1" s="1"/>
  <c r="F166" i="1" s="1"/>
  <c r="N21" i="3"/>
  <c r="N20" i="3"/>
  <c r="N19" i="3"/>
  <c r="N18" i="3"/>
  <c r="S17" i="3"/>
  <c r="D151" i="1" s="1"/>
  <c r="F151" i="1" s="1"/>
  <c r="N17" i="3"/>
  <c r="E17" i="3"/>
  <c r="F17" i="3" s="1"/>
  <c r="X16" i="3"/>
  <c r="D161" i="1" s="1"/>
  <c r="F161" i="1" s="1"/>
  <c r="S16" i="3"/>
  <c r="D150" i="1" s="1"/>
  <c r="F150" i="1" s="1"/>
  <c r="N16" i="3"/>
  <c r="E16" i="3"/>
  <c r="F16" i="3" s="1"/>
  <c r="N15" i="3"/>
  <c r="E15" i="3"/>
  <c r="S14" i="3"/>
  <c r="L14" i="3"/>
  <c r="N14" i="3" s="1"/>
  <c r="S13" i="3"/>
  <c r="N13" i="3"/>
  <c r="X12" i="3"/>
  <c r="S12" i="3"/>
  <c r="N12" i="3"/>
  <c r="F12" i="3"/>
  <c r="X11" i="3"/>
  <c r="N11" i="3"/>
  <c r="F11" i="3"/>
  <c r="X10" i="3"/>
  <c r="N10" i="3"/>
  <c r="F10" i="3"/>
  <c r="AC9" i="3"/>
  <c r="D179" i="1" s="1"/>
  <c r="F179" i="1" s="1"/>
  <c r="X9" i="3"/>
  <c r="N9" i="3"/>
  <c r="F9" i="3"/>
  <c r="AC8" i="3"/>
  <c r="D178" i="1" s="1"/>
  <c r="F178" i="1" s="1"/>
  <c r="N8" i="3"/>
  <c r="F8" i="3"/>
  <c r="AC7" i="3"/>
  <c r="D177" i="1" s="1"/>
  <c r="F177" i="1" s="1"/>
  <c r="F7" i="3"/>
  <c r="N6" i="3"/>
  <c r="AC5" i="3"/>
  <c r="D175" i="1" s="1"/>
  <c r="F175" i="1" s="1"/>
  <c r="S5" i="3"/>
  <c r="D67" i="1" s="1"/>
  <c r="F67" i="1" s="1"/>
  <c r="N5" i="3"/>
  <c r="F5" i="3"/>
  <c r="D43" i="1" s="1"/>
  <c r="F43" i="1" s="1"/>
  <c r="S4" i="3"/>
  <c r="D66" i="1" s="1"/>
  <c r="F66" i="1" s="1"/>
  <c r="D28" i="27"/>
  <c r="H15" i="27" s="1"/>
  <c r="H30" i="27" s="1"/>
  <c r="H14" i="27"/>
  <c r="H13" i="27" s="1"/>
  <c r="B3" i="27"/>
  <c r="C8" i="26"/>
  <c r="B3" i="26"/>
  <c r="G30" i="11"/>
  <c r="H30" i="11" s="1"/>
  <c r="G28" i="11"/>
  <c r="H28" i="11" s="1"/>
  <c r="G25" i="11"/>
  <c r="H25" i="11" s="1"/>
  <c r="G23" i="11"/>
  <c r="C23" i="11"/>
  <c r="H23" i="11" s="1"/>
  <c r="I20" i="11" s="1"/>
  <c r="G18" i="11"/>
  <c r="F18" i="11"/>
  <c r="G17" i="11"/>
  <c r="H17" i="11" s="1"/>
  <c r="G15" i="11"/>
  <c r="E15" i="11"/>
  <c r="H15" i="11" s="1"/>
  <c r="G14" i="11"/>
  <c r="E14" i="11"/>
  <c r="G13" i="11"/>
  <c r="D13" i="11"/>
  <c r="G12" i="11"/>
  <c r="H12" i="11" s="1"/>
  <c r="G11" i="11"/>
  <c r="E11" i="11"/>
  <c r="H11" i="11" s="1"/>
  <c r="G8" i="11"/>
  <c r="E8" i="11"/>
  <c r="H8" i="11" s="1"/>
  <c r="G7" i="11"/>
  <c r="E7" i="11"/>
  <c r="G6" i="11"/>
  <c r="E6" i="11"/>
  <c r="G5" i="11"/>
  <c r="E5" i="11"/>
  <c r="H6" i="11" l="1"/>
  <c r="H13" i="11"/>
  <c r="H14" i="11"/>
  <c r="H5" i="11"/>
  <c r="H18" i="11"/>
  <c r="H142" i="29"/>
  <c r="I142" i="29" s="1"/>
  <c r="I151" i="29" s="1"/>
  <c r="H7" i="11"/>
  <c r="C21" i="26"/>
  <c r="H21" i="26" s="1"/>
  <c r="C13" i="26"/>
  <c r="G302" i="7"/>
  <c r="H15" i="9"/>
  <c r="G255" i="10"/>
  <c r="G134" i="20"/>
  <c r="G135" i="20"/>
  <c r="G136" i="20" s="1"/>
  <c r="D31" i="6"/>
  <c r="H64" i="29" s="1"/>
  <c r="B33" i="6"/>
  <c r="D33" i="6" s="1"/>
  <c r="E33" i="6" s="1"/>
  <c r="D51" i="1"/>
  <c r="D35" i="1" s="1"/>
  <c r="F35" i="1" s="1"/>
  <c r="D172" i="12"/>
  <c r="D171" i="12"/>
  <c r="D365" i="19"/>
  <c r="D366" i="19"/>
  <c r="D69" i="20"/>
  <c r="D108" i="20"/>
  <c r="D31" i="20"/>
  <c r="D265" i="20"/>
  <c r="D148" i="20"/>
  <c r="E148" i="20" s="1"/>
  <c r="G148" i="20" s="1"/>
  <c r="D264" i="20"/>
  <c r="D226" i="20"/>
  <c r="E226" i="20" s="1"/>
  <c r="G226" i="20" s="1"/>
  <c r="D186" i="20"/>
  <c r="D225" i="20"/>
  <c r="D147" i="20"/>
  <c r="D187" i="20"/>
  <c r="D514" i="20"/>
  <c r="D564" i="20"/>
  <c r="D565" i="20"/>
  <c r="D515" i="20"/>
  <c r="E515" i="20" s="1"/>
  <c r="G515" i="20" s="1"/>
  <c r="D666" i="16"/>
  <c r="D1479" i="16"/>
  <c r="D567" i="16"/>
  <c r="E567" i="16" s="1"/>
  <c r="D1788" i="16"/>
  <c r="E1788" i="16" s="1"/>
  <c r="D1192" i="16"/>
  <c r="E1192" i="16" s="1"/>
  <c r="G1192" i="16" s="1"/>
  <c r="D568" i="16"/>
  <c r="D665" i="16"/>
  <c r="E665" i="16" s="1"/>
  <c r="D1478" i="16"/>
  <c r="E1478" i="16" s="1"/>
  <c r="G1478" i="16" s="1"/>
  <c r="D1734" i="16"/>
  <c r="E1734" i="16" s="1"/>
  <c r="D618" i="16"/>
  <c r="D517" i="16"/>
  <c r="D1385" i="16"/>
  <c r="D1239" i="16"/>
  <c r="E1239" i="16" s="1"/>
  <c r="G1239" i="16" s="1"/>
  <c r="D714" i="16"/>
  <c r="D1289" i="16"/>
  <c r="D617" i="16"/>
  <c r="E617" i="16" s="1"/>
  <c r="G617" i="16" s="1"/>
  <c r="D809" i="16"/>
  <c r="D130" i="16"/>
  <c r="D905" i="16"/>
  <c r="D857" i="16"/>
  <c r="D761" i="20"/>
  <c r="D839" i="20"/>
  <c r="D799" i="20"/>
  <c r="D760" i="20"/>
  <c r="D838" i="20"/>
  <c r="D800" i="20"/>
  <c r="F453" i="19"/>
  <c r="G453" i="19" s="1"/>
  <c r="H455" i="19" s="1"/>
  <c r="F445" i="19"/>
  <c r="C723" i="20"/>
  <c r="C459" i="19"/>
  <c r="C172" i="12"/>
  <c r="C366" i="19"/>
  <c r="C265" i="20"/>
  <c r="C226" i="20"/>
  <c r="C148" i="20"/>
  <c r="C187" i="20"/>
  <c r="C515" i="20"/>
  <c r="C565" i="20"/>
  <c r="C800" i="20"/>
  <c r="C761" i="20"/>
  <c r="C839" i="20"/>
  <c r="I37" i="10"/>
  <c r="G494" i="16"/>
  <c r="F495" i="16"/>
  <c r="G495" i="16" s="1"/>
  <c r="H1424" i="16"/>
  <c r="G1466" i="16"/>
  <c r="H1470" i="16" s="1"/>
  <c r="G1274" i="16"/>
  <c r="H1280" i="16" s="1"/>
  <c r="G211" i="16"/>
  <c r="G213" i="16" s="1"/>
  <c r="H217" i="16" s="1"/>
  <c r="H1914" i="16"/>
  <c r="C12" i="26"/>
  <c r="C11" i="26"/>
  <c r="C10" i="26"/>
  <c r="I27" i="10"/>
  <c r="H361" i="20"/>
  <c r="D168" i="21"/>
  <c r="D723" i="20"/>
  <c r="D722" i="20"/>
  <c r="E122" i="21"/>
  <c r="G122" i="21" s="1"/>
  <c r="G118" i="4"/>
  <c r="H121" i="4" s="1"/>
  <c r="G403" i="16"/>
  <c r="H409" i="16" s="1"/>
  <c r="G206" i="16"/>
  <c r="H208" i="16" s="1"/>
  <c r="G248" i="19"/>
  <c r="H366" i="7"/>
  <c r="G350" i="20"/>
  <c r="H313" i="20"/>
  <c r="G449" i="20"/>
  <c r="G302" i="20"/>
  <c r="G438" i="19"/>
  <c r="G749" i="16"/>
  <c r="H753" i="16" s="1"/>
  <c r="H1415" i="16"/>
  <c r="S11" i="3"/>
  <c r="D148" i="1" s="1"/>
  <c r="F148" i="1" s="1"/>
  <c r="E18" i="12"/>
  <c r="G18" i="12" s="1"/>
  <c r="G20" i="12" s="1"/>
  <c r="H24" i="12" s="1"/>
  <c r="G226" i="22"/>
  <c r="H230" i="22" s="1"/>
  <c r="G204" i="22" s="1"/>
  <c r="H208" i="22" s="1"/>
  <c r="H159" i="9"/>
  <c r="S15" i="3"/>
  <c r="D149" i="1" s="1"/>
  <c r="F149" i="1" s="1"/>
  <c r="D124" i="4"/>
  <c r="E8" i="6"/>
  <c r="H174" i="7"/>
  <c r="D121" i="21"/>
  <c r="H657" i="16"/>
  <c r="G446" i="20"/>
  <c r="G20" i="14"/>
  <c r="H24" i="14" s="1"/>
  <c r="E10" i="6"/>
  <c r="G160" i="19"/>
  <c r="G260" i="7"/>
  <c r="D81" i="21"/>
  <c r="E11" i="6"/>
  <c r="G108" i="21"/>
  <c r="G110" i="21" s="1"/>
  <c r="G596" i="16"/>
  <c r="H1328" i="16"/>
  <c r="D458" i="19"/>
  <c r="D647" i="20"/>
  <c r="D685" i="20"/>
  <c r="D610" i="20"/>
  <c r="D684" i="20"/>
  <c r="D648" i="20"/>
  <c r="D609" i="20"/>
  <c r="D32" i="4"/>
  <c r="D77" i="4"/>
  <c r="D123" i="4"/>
  <c r="C178" i="22"/>
  <c r="C685" i="20"/>
  <c r="C648" i="20"/>
  <c r="C610" i="20"/>
  <c r="G444" i="19"/>
  <c r="G61" i="16"/>
  <c r="H63" i="16" s="1"/>
  <c r="H256" i="16"/>
  <c r="G845" i="16"/>
  <c r="H849" i="16" s="1"/>
  <c r="G1667" i="16"/>
  <c r="H1672" i="16" s="1"/>
  <c r="H1962" i="16"/>
  <c r="G115" i="8"/>
  <c r="G857" i="20"/>
  <c r="G304" i="20"/>
  <c r="G451" i="20"/>
  <c r="G866" i="20"/>
  <c r="G450" i="20"/>
  <c r="H76" i="19"/>
  <c r="G19" i="12"/>
  <c r="H1827" i="16"/>
  <c r="G398" i="20"/>
  <c r="G865" i="20"/>
  <c r="H111" i="9"/>
  <c r="H135" i="9" s="1"/>
  <c r="G139" i="9" s="1"/>
  <c r="G66" i="8"/>
  <c r="M174" i="10"/>
  <c r="C25" i="3"/>
  <c r="D46" i="1" s="1"/>
  <c r="F46" i="1" s="1"/>
  <c r="G107" i="12"/>
  <c r="G1720" i="16"/>
  <c r="H1726" i="16" s="1"/>
  <c r="M76" i="10"/>
  <c r="X15" i="3"/>
  <c r="D160" i="1" s="1"/>
  <c r="F160" i="1" s="1"/>
  <c r="X27" i="3"/>
  <c r="X18" i="3" s="1"/>
  <c r="D163" i="1" s="1"/>
  <c r="F163" i="1" s="1"/>
  <c r="G65" i="4"/>
  <c r="H510" i="7"/>
  <c r="H558" i="7"/>
  <c r="E82" i="21"/>
  <c r="G82" i="21" s="1"/>
  <c r="H936" i="16"/>
  <c r="H1080" i="16"/>
  <c r="H1556" i="16"/>
  <c r="N46" i="3"/>
  <c r="E169" i="21"/>
  <c r="G169" i="21" s="1"/>
  <c r="D24" i="6"/>
  <c r="E24" i="6" s="1"/>
  <c r="G303" i="19"/>
  <c r="G65" i="12"/>
  <c r="G67" i="12" s="1"/>
  <c r="H71" i="12" s="1"/>
  <c r="H559" i="16"/>
  <c r="H1866" i="16"/>
  <c r="H409" i="20"/>
  <c r="G448" i="20"/>
  <c r="G254" i="7"/>
  <c r="G162" i="24"/>
  <c r="H168" i="24" s="1"/>
  <c r="H29" i="2"/>
  <c r="G263" i="9"/>
  <c r="E31" i="6"/>
  <c r="C273" i="7" s="1"/>
  <c r="D270" i="19"/>
  <c r="F440" i="19"/>
  <c r="G440" i="19" s="1"/>
  <c r="G13" i="16"/>
  <c r="H15" i="16" s="1"/>
  <c r="G862" i="20"/>
  <c r="F206" i="9"/>
  <c r="G206" i="9" s="1"/>
  <c r="G225" i="9"/>
  <c r="H126" i="8"/>
  <c r="F13" i="3"/>
  <c r="D44" i="1" s="1"/>
  <c r="F44" i="1" s="1"/>
  <c r="G214" i="22"/>
  <c r="H217" i="22" s="1"/>
  <c r="C127" i="19"/>
  <c r="D411" i="19"/>
  <c r="H63" i="9"/>
  <c r="G125" i="7"/>
  <c r="H126" i="7" s="1"/>
  <c r="G503" i="7"/>
  <c r="H505" i="7" s="1"/>
  <c r="H29" i="14"/>
  <c r="D17" i="6"/>
  <c r="E17" i="6" s="1"/>
  <c r="D127" i="19"/>
  <c r="E127" i="19" s="1"/>
  <c r="G127" i="19" s="1"/>
  <c r="D126" i="12"/>
  <c r="G982" i="16"/>
  <c r="G1030" i="16"/>
  <c r="G167" i="7"/>
  <c r="H33" i="27"/>
  <c r="H15" i="26" s="1"/>
  <c r="G21" i="22"/>
  <c r="H24" i="22" s="1"/>
  <c r="H222" i="22"/>
  <c r="G400" i="20"/>
  <c r="H30" i="7"/>
  <c r="H318" i="7"/>
  <c r="G403" i="7"/>
  <c r="G72" i="4"/>
  <c r="H75" i="4" s="1"/>
  <c r="D221" i="19"/>
  <c r="H76" i="2"/>
  <c r="G351" i="20"/>
  <c r="H72" i="9"/>
  <c r="G119" i="7"/>
  <c r="H121" i="7" s="1"/>
  <c r="G359" i="7"/>
  <c r="H361" i="7" s="1"/>
  <c r="G451" i="7"/>
  <c r="G68" i="8"/>
  <c r="H72" i="8" s="1"/>
  <c r="G115" i="22"/>
  <c r="H118" i="22" s="1"/>
  <c r="H160" i="16"/>
  <c r="G261" i="22"/>
  <c r="H264" i="22" s="1"/>
  <c r="D173" i="19"/>
  <c r="G439" i="19"/>
  <c r="H448" i="16"/>
  <c r="H1463" i="16"/>
  <c r="H1508" i="16"/>
  <c r="H1564" i="16"/>
  <c r="H461" i="20"/>
  <c r="F413" i="7"/>
  <c r="G413" i="7" s="1"/>
  <c r="H414" i="7" s="1"/>
  <c r="H77" i="8"/>
  <c r="G20" i="25"/>
  <c r="H24" i="25" s="1"/>
  <c r="C26" i="3"/>
  <c r="D47" i="1" s="1"/>
  <c r="F47" i="1" s="1"/>
  <c r="D32" i="19"/>
  <c r="D79" i="19"/>
  <c r="G1613" i="16"/>
  <c r="H1618" i="16" s="1"/>
  <c r="G1775" i="16"/>
  <c r="H1780" i="16" s="1"/>
  <c r="G1817" i="16"/>
  <c r="G163" i="8"/>
  <c r="G165" i="8" s="1"/>
  <c r="H169" i="8" s="1"/>
  <c r="H29" i="25"/>
  <c r="F98" i="29"/>
  <c r="I98" i="29" s="1"/>
  <c r="I97" i="29"/>
  <c r="D169" i="1"/>
  <c r="F169" i="1" s="1"/>
  <c r="H23" i="26"/>
  <c r="C22" i="26"/>
  <c r="H22" i="26" s="1"/>
  <c r="C20" i="26"/>
  <c r="H20" i="26" s="1"/>
  <c r="C9" i="26"/>
  <c r="H8" i="26"/>
  <c r="C19" i="26"/>
  <c r="H19" i="26" s="1"/>
  <c r="G21" i="4"/>
  <c r="H23" i="4" s="1"/>
  <c r="D37" i="1"/>
  <c r="F37" i="1" s="1"/>
  <c r="D48" i="1"/>
  <c r="F48" i="1" s="1"/>
  <c r="X5" i="3"/>
  <c r="D158" i="1" s="1"/>
  <c r="F158" i="1" s="1"/>
  <c r="X6" i="3"/>
  <c r="D159" i="1" s="1"/>
  <c r="F159" i="1" s="1"/>
  <c r="N41" i="3"/>
  <c r="D58" i="1" s="1"/>
  <c r="F58" i="1" s="1"/>
  <c r="C269" i="19"/>
  <c r="C32" i="19"/>
  <c r="G157" i="21"/>
  <c r="H160" i="21" s="1"/>
  <c r="G67" i="4"/>
  <c r="H70" i="4" s="1"/>
  <c r="F157" i="22"/>
  <c r="G157" i="22" s="1"/>
  <c r="G156" i="22"/>
  <c r="G309" i="16"/>
  <c r="H313" i="16" s="1"/>
  <c r="C80" i="14"/>
  <c r="C82" i="7"/>
  <c r="C369" i="7"/>
  <c r="C274" i="7"/>
  <c r="C128" i="24"/>
  <c r="C275" i="10"/>
  <c r="C178" i="10"/>
  <c r="E178" i="10" s="1"/>
  <c r="G178" i="10" s="1"/>
  <c r="C178" i="7"/>
  <c r="C34" i="7"/>
  <c r="C178" i="8"/>
  <c r="C130" i="8"/>
  <c r="C466" i="7"/>
  <c r="C322" i="7"/>
  <c r="C130" i="7"/>
  <c r="C176" i="24"/>
  <c r="C33" i="25"/>
  <c r="C33" i="8"/>
  <c r="C81" i="8"/>
  <c r="C413" i="20"/>
  <c r="C317" i="20"/>
  <c r="C227" i="10"/>
  <c r="C33" i="14"/>
  <c r="C883" i="20"/>
  <c r="C465" i="20"/>
  <c r="C365" i="20"/>
  <c r="C418" i="7"/>
  <c r="C80" i="24"/>
  <c r="C1432" i="16"/>
  <c r="C1931" i="16"/>
  <c r="C1835" i="16"/>
  <c r="C1146" i="16"/>
  <c r="C1979" i="16"/>
  <c r="C1336" i="16"/>
  <c r="C1883" i="16"/>
  <c r="C465" i="16"/>
  <c r="C953" i="16"/>
  <c r="C273" i="16"/>
  <c r="C33" i="2"/>
  <c r="C1572" i="16"/>
  <c r="C225" i="16"/>
  <c r="C127" i="12"/>
  <c r="C225" i="7"/>
  <c r="C322" i="16"/>
  <c r="C1525" i="16"/>
  <c r="C1097" i="16"/>
  <c r="C80" i="16"/>
  <c r="C80" i="2"/>
  <c r="C33" i="22"/>
  <c r="C32" i="4"/>
  <c r="C33" i="12"/>
  <c r="C177" i="16"/>
  <c r="C319" i="19"/>
  <c r="C80" i="19"/>
  <c r="C32" i="16"/>
  <c r="C174" i="19"/>
  <c r="C33" i="19"/>
  <c r="C80" i="22"/>
  <c r="C80" i="12"/>
  <c r="C273" i="22"/>
  <c r="E273" i="22" s="1"/>
  <c r="G273" i="22" s="1"/>
  <c r="C411" i="19"/>
  <c r="C270" i="19"/>
  <c r="C221" i="19"/>
  <c r="E221" i="19" s="1"/>
  <c r="G221" i="19" s="1"/>
  <c r="C124" i="4"/>
  <c r="E124" i="4" s="1"/>
  <c r="G124" i="4" s="1"/>
  <c r="G68" i="22"/>
  <c r="H71" i="22" s="1"/>
  <c r="F257" i="19"/>
  <c r="G257" i="19" s="1"/>
  <c r="G256" i="19"/>
  <c r="E61" i="2"/>
  <c r="G61" i="2" s="1"/>
  <c r="G14" i="2"/>
  <c r="G21" i="21"/>
  <c r="H24" i="21" s="1"/>
  <c r="G69" i="21"/>
  <c r="H72" i="21" s="1"/>
  <c r="G164" i="22"/>
  <c r="H167" i="22" s="1"/>
  <c r="H266" i="19"/>
  <c r="G397" i="19"/>
  <c r="G399" i="19" s="1"/>
  <c r="S10" i="3"/>
  <c r="D147" i="1" s="1"/>
  <c r="F147" i="1" s="1"/>
  <c r="D45" i="1"/>
  <c r="F45" i="1" s="1"/>
  <c r="G113" i="4"/>
  <c r="H115" i="4" s="1"/>
  <c r="F15" i="3"/>
  <c r="F18" i="3" s="1"/>
  <c r="H315" i="19"/>
  <c r="E202" i="4"/>
  <c r="G202" i="4" s="1"/>
  <c r="E158" i="4"/>
  <c r="G158" i="4" s="1"/>
  <c r="D9" i="6"/>
  <c r="E9" i="6" s="1"/>
  <c r="E14" i="6"/>
  <c r="D19" i="6"/>
  <c r="E19" i="6" s="1"/>
  <c r="D33" i="22"/>
  <c r="D79" i="22"/>
  <c r="G20" i="16"/>
  <c r="H24" i="16" s="1"/>
  <c r="H457" i="16"/>
  <c r="H508" i="16"/>
  <c r="D1384" i="16"/>
  <c r="D318" i="19"/>
  <c r="H993" i="16"/>
  <c r="D22" i="6"/>
  <c r="E22" i="6" s="1"/>
  <c r="D32" i="25"/>
  <c r="D32" i="8"/>
  <c r="D369" i="7"/>
  <c r="D274" i="7"/>
  <c r="D128" i="24"/>
  <c r="D275" i="10"/>
  <c r="D178" i="7"/>
  <c r="D34" i="7"/>
  <c r="D226" i="10"/>
  <c r="D32" i="14"/>
  <c r="D80" i="8"/>
  <c r="D417" i="7"/>
  <c r="D224" i="7"/>
  <c r="D178" i="8"/>
  <c r="D130" i="8"/>
  <c r="D466" i="7"/>
  <c r="D322" i="7"/>
  <c r="E322" i="7" s="1"/>
  <c r="G322" i="7" s="1"/>
  <c r="D130" i="7"/>
  <c r="E130" i="7" s="1"/>
  <c r="G130" i="7" s="1"/>
  <c r="D81" i="7"/>
  <c r="D176" i="24"/>
  <c r="D33" i="25"/>
  <c r="D33" i="8"/>
  <c r="E33" i="8" s="1"/>
  <c r="G33" i="8" s="1"/>
  <c r="D273" i="7"/>
  <c r="D80" i="24"/>
  <c r="D274" i="10"/>
  <c r="D177" i="7"/>
  <c r="D33" i="7"/>
  <c r="D465" i="7"/>
  <c r="D227" i="10"/>
  <c r="D33" i="14"/>
  <c r="D177" i="8"/>
  <c r="D129" i="8"/>
  <c r="D321" i="7"/>
  <c r="D883" i="20"/>
  <c r="D465" i="20"/>
  <c r="D365" i="20"/>
  <c r="D129" i="7"/>
  <c r="D412" i="20"/>
  <c r="D316" i="20"/>
  <c r="D418" i="7"/>
  <c r="D82" i="7"/>
  <c r="E82" i="7" s="1"/>
  <c r="G82" i="7" s="1"/>
  <c r="D225" i="7"/>
  <c r="D882" i="20"/>
  <c r="D464" i="20"/>
  <c r="D364" i="20"/>
  <c r="D80" i="14"/>
  <c r="D1931" i="16"/>
  <c r="D413" i="20"/>
  <c r="D317" i="20"/>
  <c r="D1835" i="16"/>
  <c r="D1626" i="16"/>
  <c r="D1146" i="16"/>
  <c r="D1979" i="16"/>
  <c r="D1336" i="16"/>
  <c r="D1288" i="16"/>
  <c r="H1197" i="16"/>
  <c r="E1173" i="16" s="1"/>
  <c r="G1173" i="16" s="1"/>
  <c r="H1176" i="16" s="1"/>
  <c r="D81" i="8"/>
  <c r="D1572" i="16"/>
  <c r="D1525" i="16"/>
  <c r="D953" i="16"/>
  <c r="D713" i="16"/>
  <c r="E713" i="16" s="1"/>
  <c r="G713" i="16" s="1"/>
  <c r="D417" i="16"/>
  <c r="E417" i="16" s="1"/>
  <c r="G417" i="16" s="1"/>
  <c r="H422" i="16" s="1"/>
  <c r="D273" i="16"/>
  <c r="D33" i="2"/>
  <c r="E33" i="2" s="1"/>
  <c r="G33" i="2" s="1"/>
  <c r="D225" i="16"/>
  <c r="D127" i="12"/>
  <c r="D79" i="12"/>
  <c r="D79" i="2"/>
  <c r="D1680" i="16"/>
  <c r="D1432" i="16"/>
  <c r="D761" i="16"/>
  <c r="D322" i="16"/>
  <c r="D369" i="16"/>
  <c r="D1883" i="16"/>
  <c r="D1145" i="16"/>
  <c r="D465" i="16"/>
  <c r="D321" i="16"/>
  <c r="D129" i="16"/>
  <c r="D178" i="22"/>
  <c r="E178" i="22" s="1"/>
  <c r="G178" i="22" s="1"/>
  <c r="D32" i="12"/>
  <c r="D80" i="12"/>
  <c r="D516" i="16"/>
  <c r="E4" i="6"/>
  <c r="D25" i="6"/>
  <c r="E25" i="6" s="1"/>
  <c r="D32" i="22"/>
  <c r="D80" i="22"/>
  <c r="G114" i="12"/>
  <c r="H118" i="12" s="1"/>
  <c r="D32" i="2"/>
  <c r="H265" i="16"/>
  <c r="G701" i="16"/>
  <c r="H705" i="16" s="1"/>
  <c r="H801" i="16"/>
  <c r="D1097" i="16"/>
  <c r="D18" i="6"/>
  <c r="E18" i="6" s="1"/>
  <c r="D128" i="22"/>
  <c r="D33" i="19"/>
  <c r="D174" i="19"/>
  <c r="D220" i="19"/>
  <c r="D269" i="19"/>
  <c r="D410" i="19"/>
  <c r="D80" i="2"/>
  <c r="E80" i="2" s="1"/>
  <c r="G80" i="2" s="1"/>
  <c r="D32" i="16"/>
  <c r="G398" i="16"/>
  <c r="E809" i="16"/>
  <c r="G809" i="16" s="1"/>
  <c r="H814" i="16" s="1"/>
  <c r="E789" i="16" s="1"/>
  <c r="G789" i="16" s="1"/>
  <c r="H792" i="16" s="1"/>
  <c r="D80" i="19"/>
  <c r="D126" i="19"/>
  <c r="D319" i="19"/>
  <c r="D459" i="19"/>
  <c r="E459" i="19" s="1"/>
  <c r="G459" i="19" s="1"/>
  <c r="D80" i="16"/>
  <c r="D177" i="16"/>
  <c r="D1049" i="16"/>
  <c r="D213" i="4"/>
  <c r="F32" i="6"/>
  <c r="D177" i="22"/>
  <c r="D33" i="12"/>
  <c r="H72" i="16"/>
  <c r="H169" i="16"/>
  <c r="H897" i="16"/>
  <c r="D1001" i="16"/>
  <c r="E1001" i="16" s="1"/>
  <c r="G1001" i="16" s="1"/>
  <c r="H1006" i="16" s="1"/>
  <c r="H1041" i="16"/>
  <c r="H1089" i="16"/>
  <c r="H1319" i="16"/>
  <c r="H1517" i="16"/>
  <c r="H229" i="9"/>
  <c r="G204" i="9" s="1"/>
  <c r="G1133" i="16"/>
  <c r="H1137" i="16" s="1"/>
  <c r="G352" i="20"/>
  <c r="G214" i="9"/>
  <c r="H216" i="9" s="1"/>
  <c r="H265" i="9"/>
  <c r="G311" i="7"/>
  <c r="H313" i="7" s="1"/>
  <c r="H183" i="9"/>
  <c r="G187" i="9" s="1"/>
  <c r="H278" i="9"/>
  <c r="G252" i="9" s="1"/>
  <c r="H255" i="9" s="1"/>
  <c r="G263" i="7"/>
  <c r="H265" i="7" s="1"/>
  <c r="G303" i="20"/>
  <c r="G399" i="20"/>
  <c r="H879" i="20"/>
  <c r="G23" i="7"/>
  <c r="H25" i="7" s="1"/>
  <c r="G551" i="7"/>
  <c r="H553" i="7" s="1"/>
  <c r="H170" i="10"/>
  <c r="H175" i="10"/>
  <c r="H39" i="24"/>
  <c r="G43" i="24" s="1"/>
  <c r="H174" i="8"/>
  <c r="G68" i="14"/>
  <c r="H72" i="14" s="1"/>
  <c r="M124" i="10"/>
  <c r="G262" i="10"/>
  <c r="H266" i="10" s="1"/>
  <c r="G20" i="9"/>
  <c r="H24" i="9" s="1"/>
  <c r="H39" i="9" s="1"/>
  <c r="H169" i="7"/>
  <c r="H78" i="7"/>
  <c r="F404" i="7"/>
  <c r="F460" i="7"/>
  <c r="G460" i="7" s="1"/>
  <c r="F461" i="7"/>
  <c r="G461" i="7" s="1"/>
  <c r="G114" i="8"/>
  <c r="G71" i="7"/>
  <c r="H73" i="7" s="1"/>
  <c r="E231" i="1" l="1"/>
  <c r="F231" i="1" s="1"/>
  <c r="H26" i="26"/>
  <c r="D32" i="1"/>
  <c r="F32" i="1" s="1"/>
  <c r="F51" i="1"/>
  <c r="H35" i="11"/>
  <c r="H37" i="11" s="1"/>
  <c r="E171" i="12"/>
  <c r="G171" i="12" s="1"/>
  <c r="E568" i="16"/>
  <c r="G568" i="16" s="1"/>
  <c r="E225" i="20"/>
  <c r="G225" i="20" s="1"/>
  <c r="E172" i="12"/>
  <c r="G172" i="12" s="1"/>
  <c r="E186" i="20"/>
  <c r="G186" i="20" s="1"/>
  <c r="H230" i="20"/>
  <c r="C714" i="16"/>
  <c r="C666" i="16"/>
  <c r="E666" i="16" s="1"/>
  <c r="G666" i="16" s="1"/>
  <c r="C1479" i="16"/>
  <c r="E1479" i="16" s="1"/>
  <c r="G1479" i="16" s="1"/>
  <c r="H1482" i="16" s="1"/>
  <c r="H1484" i="16" s="1"/>
  <c r="C1385" i="16"/>
  <c r="E1385" i="16" s="1"/>
  <c r="G1385" i="16" s="1"/>
  <c r="C618" i="16"/>
  <c r="C1289" i="16"/>
  <c r="C568" i="16"/>
  <c r="C517" i="16"/>
  <c r="C130" i="16"/>
  <c r="E130" i="16" s="1"/>
  <c r="G130" i="16" s="1"/>
  <c r="E1289" i="16"/>
  <c r="G1289" i="16" s="1"/>
  <c r="E264" i="20"/>
  <c r="G264" i="20" s="1"/>
  <c r="E80" i="12"/>
  <c r="G80" i="12" s="1"/>
  <c r="C79" i="12"/>
  <c r="E79" i="12" s="1"/>
  <c r="G79" i="12" s="1"/>
  <c r="H84" i="12" s="1"/>
  <c r="G59" i="12" s="1"/>
  <c r="H62" i="12" s="1"/>
  <c r="H86" i="12" s="1"/>
  <c r="E723" i="20"/>
  <c r="G723" i="20" s="1"/>
  <c r="E800" i="20"/>
  <c r="G800" i="20" s="1"/>
  <c r="E714" i="16"/>
  <c r="G714" i="16" s="1"/>
  <c r="H718" i="16" s="1"/>
  <c r="E693" i="16" s="1"/>
  <c r="G693" i="16" s="1"/>
  <c r="H696" i="16" s="1"/>
  <c r="H720" i="16" s="1"/>
  <c r="C464" i="20"/>
  <c r="E265" i="20"/>
  <c r="G265" i="20" s="1"/>
  <c r="H139" i="20"/>
  <c r="H567" i="7"/>
  <c r="G572" i="7" s="1"/>
  <c r="E760" i="20"/>
  <c r="G760" i="20" s="1"/>
  <c r="E31" i="20"/>
  <c r="G31" i="20" s="1"/>
  <c r="H36" i="20" s="1"/>
  <c r="G11" i="20" s="1"/>
  <c r="H14" i="20" s="1"/>
  <c r="H38" i="20" s="1"/>
  <c r="C722" i="20"/>
  <c r="E722" i="20" s="1"/>
  <c r="G722" i="20" s="1"/>
  <c r="H726" i="20" s="1"/>
  <c r="G701" i="20" s="1"/>
  <c r="H705" i="20" s="1"/>
  <c r="C171" i="12"/>
  <c r="C365" i="19"/>
  <c r="C69" i="20"/>
  <c r="C225" i="20"/>
  <c r="C108" i="20"/>
  <c r="C31" i="20"/>
  <c r="C186" i="20"/>
  <c r="C264" i="20"/>
  <c r="C147" i="20"/>
  <c r="E147" i="20" s="1"/>
  <c r="G147" i="20" s="1"/>
  <c r="H152" i="20" s="1"/>
  <c r="C514" i="20"/>
  <c r="E514" i="20" s="1"/>
  <c r="G514" i="20" s="1"/>
  <c r="H519" i="20" s="1"/>
  <c r="G490" i="20" s="1"/>
  <c r="H493" i="20" s="1"/>
  <c r="H521" i="20" s="1"/>
  <c r="C564" i="20"/>
  <c r="E564" i="20" s="1"/>
  <c r="G564" i="20" s="1"/>
  <c r="E28" i="10"/>
  <c r="G28" i="10" s="1"/>
  <c r="H29" i="10" s="1"/>
  <c r="H39" i="10" s="1"/>
  <c r="G43" i="10" s="1"/>
  <c r="E124" i="10"/>
  <c r="G124" i="10" s="1"/>
  <c r="H125" i="10" s="1"/>
  <c r="H135" i="10" s="1"/>
  <c r="E76" i="10"/>
  <c r="G76" i="10" s="1"/>
  <c r="H77" i="10" s="1"/>
  <c r="H87" i="10" s="1"/>
  <c r="C799" i="20"/>
  <c r="C760" i="20"/>
  <c r="C838" i="20"/>
  <c r="E838" i="20" s="1"/>
  <c r="G838" i="20" s="1"/>
  <c r="H842" i="20" s="1"/>
  <c r="G817" i="20" s="1"/>
  <c r="H822" i="20" s="1"/>
  <c r="H844" i="20" s="1"/>
  <c r="C32" i="25"/>
  <c r="E799" i="20"/>
  <c r="G799" i="20" s="1"/>
  <c r="E517" i="16"/>
  <c r="G517" i="16" s="1"/>
  <c r="E565" i="20"/>
  <c r="G565" i="20" s="1"/>
  <c r="E108" i="20"/>
  <c r="G108" i="20" s="1"/>
  <c r="H113" i="20" s="1"/>
  <c r="G88" i="20" s="1"/>
  <c r="H91" i="20" s="1"/>
  <c r="H115" i="20" s="1"/>
  <c r="E80" i="22"/>
  <c r="G80" i="22" s="1"/>
  <c r="E178" i="8"/>
  <c r="G178" i="8" s="1"/>
  <c r="E270" i="19"/>
  <c r="G270" i="19" s="1"/>
  <c r="E32" i="4"/>
  <c r="G32" i="4" s="1"/>
  <c r="D61" i="1"/>
  <c r="F61" i="1" s="1"/>
  <c r="E839" i="20"/>
  <c r="G839" i="20" s="1"/>
  <c r="E618" i="16"/>
  <c r="G618" i="16" s="1"/>
  <c r="H622" i="16" s="1"/>
  <c r="E69" i="20"/>
  <c r="G69" i="20" s="1"/>
  <c r="H74" i="20" s="1"/>
  <c r="G49" i="20" s="1"/>
  <c r="H52" i="20" s="1"/>
  <c r="H76" i="20" s="1"/>
  <c r="E128" i="24"/>
  <c r="G128" i="24" s="1"/>
  <c r="H133" i="24" s="1"/>
  <c r="G108" i="24" s="1"/>
  <c r="H111" i="24" s="1"/>
  <c r="H135" i="24" s="1"/>
  <c r="G139" i="24" s="1"/>
  <c r="H207" i="9"/>
  <c r="H231" i="9" s="1"/>
  <c r="C318" i="19"/>
  <c r="E318" i="19" s="1"/>
  <c r="G318" i="19" s="1"/>
  <c r="H323" i="19" s="1"/>
  <c r="S19" i="3"/>
  <c r="D153" i="1" s="1"/>
  <c r="F153" i="1" s="1"/>
  <c r="E761" i="20"/>
  <c r="G761" i="20" s="1"/>
  <c r="E366" i="19"/>
  <c r="G366" i="19" s="1"/>
  <c r="E187" i="20"/>
  <c r="G187" i="20" s="1"/>
  <c r="E365" i="19"/>
  <c r="G365" i="19" s="1"/>
  <c r="G306" i="19"/>
  <c r="H310" i="19" s="1"/>
  <c r="E411" i="19"/>
  <c r="G411" i="19" s="1"/>
  <c r="E33" i="19"/>
  <c r="G33" i="19" s="1"/>
  <c r="E319" i="19"/>
  <c r="G319" i="19" s="1"/>
  <c r="E32" i="19"/>
  <c r="G32" i="19" s="1"/>
  <c r="H1199" i="16"/>
  <c r="G1203" i="16" s="1"/>
  <c r="G1788" i="16"/>
  <c r="H1793" i="16" s="1"/>
  <c r="E1762" i="16" s="1"/>
  <c r="G1762" i="16" s="1"/>
  <c r="H1765" i="16" s="1"/>
  <c r="H1795" i="16" s="1"/>
  <c r="G1799" i="16" s="1"/>
  <c r="E516" i="16"/>
  <c r="G516" i="16" s="1"/>
  <c r="E1336" i="16"/>
  <c r="G1336" i="16" s="1"/>
  <c r="H1341" i="16" s="1"/>
  <c r="H1343" i="16" s="1"/>
  <c r="G1347" i="16" s="1"/>
  <c r="E1931" i="16"/>
  <c r="G1931" i="16" s="1"/>
  <c r="H1936" i="16" s="1"/>
  <c r="H1938" i="16" s="1"/>
  <c r="G1942" i="16" s="1"/>
  <c r="E1680" i="16"/>
  <c r="G1680" i="16" s="1"/>
  <c r="H1685" i="16" s="1"/>
  <c r="E1654" i="16" s="1"/>
  <c r="G1654" i="16" s="1"/>
  <c r="H1657" i="16" s="1"/>
  <c r="H1687" i="16" s="1"/>
  <c r="E981" i="16"/>
  <c r="G981" i="16" s="1"/>
  <c r="H984" i="16" s="1"/>
  <c r="H1008" i="16" s="1"/>
  <c r="E397" i="16"/>
  <c r="G397" i="16" s="1"/>
  <c r="H400" i="16" s="1"/>
  <c r="H424" i="16" s="1"/>
  <c r="E369" i="16"/>
  <c r="G369" i="16" s="1"/>
  <c r="H374" i="16" s="1"/>
  <c r="E322" i="16"/>
  <c r="G322" i="16" s="1"/>
  <c r="E857" i="16"/>
  <c r="G857" i="16" s="1"/>
  <c r="H862" i="16" s="1"/>
  <c r="E837" i="16" s="1"/>
  <c r="G837" i="16" s="1"/>
  <c r="H840" i="16" s="1"/>
  <c r="H864" i="16" s="1"/>
  <c r="E1525" i="16"/>
  <c r="G1525" i="16" s="1"/>
  <c r="H1530" i="16" s="1"/>
  <c r="H1532" i="16" s="1"/>
  <c r="E1146" i="16"/>
  <c r="G1146" i="16" s="1"/>
  <c r="E177" i="16"/>
  <c r="G177" i="16" s="1"/>
  <c r="H182" i="16" s="1"/>
  <c r="H184" i="16" s="1"/>
  <c r="H1244" i="16"/>
  <c r="E1626" i="16"/>
  <c r="G1626" i="16" s="1"/>
  <c r="H1631" i="16" s="1"/>
  <c r="E80" i="16"/>
  <c r="G80" i="16" s="1"/>
  <c r="H85" i="16" s="1"/>
  <c r="H87" i="16" s="1"/>
  <c r="G91" i="16" s="1"/>
  <c r="E1979" i="16"/>
  <c r="G1979" i="16" s="1"/>
  <c r="H1984" i="16" s="1"/>
  <c r="H1986" i="16" s="1"/>
  <c r="G1990" i="16" s="1"/>
  <c r="E129" i="16"/>
  <c r="G129" i="16" s="1"/>
  <c r="H9" i="26"/>
  <c r="E883" i="20"/>
  <c r="G883" i="20" s="1"/>
  <c r="G453" i="20"/>
  <c r="H456" i="20" s="1"/>
  <c r="E317" i="20"/>
  <c r="G317" i="20" s="1"/>
  <c r="E365" i="20"/>
  <c r="G365" i="20" s="1"/>
  <c r="H519" i="7"/>
  <c r="G523" i="7" s="1"/>
  <c r="C609" i="20"/>
  <c r="E609" i="20" s="1"/>
  <c r="G609" i="20" s="1"/>
  <c r="C684" i="20"/>
  <c r="E684" i="20" s="1"/>
  <c r="G684" i="20" s="1"/>
  <c r="C647" i="20"/>
  <c r="E647" i="20" s="1"/>
  <c r="G647" i="20" s="1"/>
  <c r="E33" i="22"/>
  <c r="G33" i="22" s="1"/>
  <c r="C126" i="12"/>
  <c r="E126" i="12" s="1"/>
  <c r="G126" i="12" s="1"/>
  <c r="H131" i="12" s="1"/>
  <c r="G106" i="12" s="1"/>
  <c r="H109" i="12" s="1"/>
  <c r="H133" i="12" s="1"/>
  <c r="C126" i="19"/>
  <c r="E126" i="19" s="1"/>
  <c r="G126" i="19" s="1"/>
  <c r="H131" i="19" s="1"/>
  <c r="G106" i="19" s="1"/>
  <c r="H109" i="19" s="1"/>
  <c r="C321" i="16"/>
  <c r="E321" i="16" s="1"/>
  <c r="G321" i="16" s="1"/>
  <c r="C316" i="20"/>
  <c r="E316" i="20" s="1"/>
  <c r="G316" i="20" s="1"/>
  <c r="C417" i="7"/>
  <c r="E127" i="12"/>
  <c r="G127" i="12" s="1"/>
  <c r="C32" i="12"/>
  <c r="C81" i="21"/>
  <c r="E81" i="21" s="1"/>
  <c r="G81" i="21" s="1"/>
  <c r="H86" i="21" s="1"/>
  <c r="G60" i="21" s="1"/>
  <c r="H63" i="21" s="1"/>
  <c r="C32" i="22"/>
  <c r="E32" i="22" s="1"/>
  <c r="G32" i="22" s="1"/>
  <c r="C213" i="4"/>
  <c r="C882" i="20"/>
  <c r="E882" i="20" s="1"/>
  <c r="G882" i="20" s="1"/>
  <c r="C412" i="20"/>
  <c r="E412" i="20" s="1"/>
  <c r="G412" i="20" s="1"/>
  <c r="C80" i="8"/>
  <c r="E80" i="8" s="1"/>
  <c r="G80" i="8" s="1"/>
  <c r="C129" i="7"/>
  <c r="E129" i="7" s="1"/>
  <c r="G129" i="7" s="1"/>
  <c r="H133" i="7" s="1"/>
  <c r="G109" i="7" s="1"/>
  <c r="H112" i="7" s="1"/>
  <c r="H135" i="7" s="1"/>
  <c r="C81" i="7"/>
  <c r="E81" i="7" s="1"/>
  <c r="G81" i="7" s="1"/>
  <c r="H85" i="7" s="1"/>
  <c r="G61" i="7" s="1"/>
  <c r="H64" i="7" s="1"/>
  <c r="H87" i="7" s="1"/>
  <c r="E1097" i="16"/>
  <c r="G1097" i="16" s="1"/>
  <c r="H1102" i="16" s="1"/>
  <c r="H1104" i="16" s="1"/>
  <c r="E1572" i="16"/>
  <c r="G1572" i="16" s="1"/>
  <c r="H1577" i="16" s="1"/>
  <c r="H1579" i="16" s="1"/>
  <c r="G1583" i="16" s="1"/>
  <c r="E464" i="20"/>
  <c r="G464" i="20" s="1"/>
  <c r="E80" i="24"/>
  <c r="G80" i="24" s="1"/>
  <c r="H85" i="24" s="1"/>
  <c r="G60" i="24" s="1"/>
  <c r="H63" i="24" s="1"/>
  <c r="H87" i="24" s="1"/>
  <c r="G91" i="24" s="1"/>
  <c r="E32" i="25"/>
  <c r="G32" i="25" s="1"/>
  <c r="H37" i="25" s="1"/>
  <c r="G12" i="25" s="1"/>
  <c r="H15" i="25" s="1"/>
  <c r="H39" i="25" s="1"/>
  <c r="C33" i="21"/>
  <c r="E33" i="21" s="1"/>
  <c r="G33" i="21" s="1"/>
  <c r="H38" i="21" s="1"/>
  <c r="G12" i="21" s="1"/>
  <c r="H15" i="21" s="1"/>
  <c r="H40" i="21" s="1"/>
  <c r="C79" i="19"/>
  <c r="E79" i="19" s="1"/>
  <c r="G79" i="19" s="1"/>
  <c r="C169" i="4"/>
  <c r="E169" i="4" s="1"/>
  <c r="G169" i="4" s="1"/>
  <c r="H174" i="4" s="1"/>
  <c r="G151" i="4" s="1"/>
  <c r="H154" i="4" s="1"/>
  <c r="C32" i="2"/>
  <c r="E32" i="2" s="1"/>
  <c r="G32" i="2" s="1"/>
  <c r="H37" i="2" s="1"/>
  <c r="G12" i="2" s="1"/>
  <c r="H15" i="2" s="1"/>
  <c r="C177" i="22"/>
  <c r="E177" i="22" s="1"/>
  <c r="G177" i="22" s="1"/>
  <c r="H182" i="22" s="1"/>
  <c r="G155" i="22" s="1"/>
  <c r="H158" i="22" s="1"/>
  <c r="H184" i="22" s="1"/>
  <c r="C274" i="10"/>
  <c r="C33" i="7"/>
  <c r="C32" i="14"/>
  <c r="C321" i="7"/>
  <c r="E321" i="7" s="1"/>
  <c r="G321" i="7" s="1"/>
  <c r="H325" i="7" s="1"/>
  <c r="G301" i="7" s="1"/>
  <c r="H304" i="7" s="1"/>
  <c r="H327" i="7" s="1"/>
  <c r="E648" i="20"/>
  <c r="G648" i="20" s="1"/>
  <c r="E80" i="19"/>
  <c r="G80" i="19" s="1"/>
  <c r="E269" i="19"/>
  <c r="G269" i="19" s="1"/>
  <c r="H274" i="19" s="1"/>
  <c r="G247" i="19" s="1"/>
  <c r="H250" i="19" s="1"/>
  <c r="E1432" i="16"/>
  <c r="G1432" i="16" s="1"/>
  <c r="H1437" i="16" s="1"/>
  <c r="H1439" i="16" s="1"/>
  <c r="G1443" i="16" s="1"/>
  <c r="E33" i="14"/>
  <c r="G33" i="14" s="1"/>
  <c r="E273" i="7"/>
  <c r="G273" i="7" s="1"/>
  <c r="C123" i="4"/>
  <c r="E123" i="4" s="1"/>
  <c r="G123" i="4" s="1"/>
  <c r="H128" i="4" s="1"/>
  <c r="G105" i="4" s="1"/>
  <c r="H107" i="4" s="1"/>
  <c r="H130" i="4" s="1"/>
  <c r="C79" i="22"/>
  <c r="E79" i="22" s="1"/>
  <c r="G79" i="22" s="1"/>
  <c r="H84" i="22" s="1"/>
  <c r="G59" i="22" s="1"/>
  <c r="H62" i="22" s="1"/>
  <c r="H86" i="22" s="1"/>
  <c r="C177" i="7"/>
  <c r="E177" i="7" s="1"/>
  <c r="G177" i="7" s="1"/>
  <c r="C226" i="10"/>
  <c r="E226" i="10" s="1"/>
  <c r="G226" i="10" s="1"/>
  <c r="C465" i="7"/>
  <c r="E465" i="7" s="1"/>
  <c r="G465" i="7" s="1"/>
  <c r="H9" i="27"/>
  <c r="E417" i="7"/>
  <c r="G417" i="7" s="1"/>
  <c r="E32" i="12"/>
  <c r="G32" i="12" s="1"/>
  <c r="C173" i="19"/>
  <c r="E173" i="19" s="1"/>
  <c r="G173" i="19" s="1"/>
  <c r="C224" i="7"/>
  <c r="E224" i="7" s="1"/>
  <c r="G224" i="7" s="1"/>
  <c r="E227" i="10"/>
  <c r="G227" i="10" s="1"/>
  <c r="E178" i="7"/>
  <c r="G178" i="7" s="1"/>
  <c r="C168" i="21"/>
  <c r="E168" i="21" s="1"/>
  <c r="G168" i="21" s="1"/>
  <c r="H173" i="21" s="1"/>
  <c r="G148" i="21" s="1"/>
  <c r="H151" i="21" s="1"/>
  <c r="H175" i="21" s="1"/>
  <c r="C128" i="22"/>
  <c r="C272" i="22"/>
  <c r="E272" i="22" s="1"/>
  <c r="G272" i="22" s="1"/>
  <c r="C364" i="20"/>
  <c r="E364" i="20" s="1"/>
  <c r="G364" i="20" s="1"/>
  <c r="C129" i="8"/>
  <c r="E129" i="8" s="1"/>
  <c r="G129" i="8" s="1"/>
  <c r="E610" i="20"/>
  <c r="G610" i="20" s="1"/>
  <c r="E128" i="22"/>
  <c r="G128" i="22" s="1"/>
  <c r="H133" i="22" s="1"/>
  <c r="G106" i="22" s="1"/>
  <c r="H109" i="22" s="1"/>
  <c r="H135" i="22" s="1"/>
  <c r="C410" i="19"/>
  <c r="E410" i="19" s="1"/>
  <c r="G410" i="19" s="1"/>
  <c r="H415" i="19" s="1"/>
  <c r="G390" i="19" s="1"/>
  <c r="H393" i="19" s="1"/>
  <c r="E32" i="16"/>
  <c r="G32" i="16" s="1"/>
  <c r="H37" i="16" s="1"/>
  <c r="H39" i="16" s="1"/>
  <c r="E213" i="4"/>
  <c r="G213" i="4" s="1"/>
  <c r="H218" i="4" s="1"/>
  <c r="G195" i="4" s="1"/>
  <c r="H198" i="4" s="1"/>
  <c r="E275" i="10"/>
  <c r="G275" i="10" s="1"/>
  <c r="C458" i="19"/>
  <c r="E458" i="19" s="1"/>
  <c r="G458" i="19" s="1"/>
  <c r="C220" i="19"/>
  <c r="E220" i="19" s="1"/>
  <c r="G220" i="19" s="1"/>
  <c r="H225" i="19" s="1"/>
  <c r="G200" i="19" s="1"/>
  <c r="H203" i="19" s="1"/>
  <c r="C79" i="2"/>
  <c r="C1145" i="16"/>
  <c r="E1145" i="16" s="1"/>
  <c r="G1145" i="16" s="1"/>
  <c r="C179" i="10"/>
  <c r="E179" i="10" s="1"/>
  <c r="G179" i="10" s="1"/>
  <c r="C32" i="8"/>
  <c r="E32" i="8" s="1"/>
  <c r="G32" i="8" s="1"/>
  <c r="H37" i="8" s="1"/>
  <c r="G12" i="8" s="1"/>
  <c r="H15" i="8" s="1"/>
  <c r="C177" i="8"/>
  <c r="E177" i="8" s="1"/>
  <c r="G177" i="8" s="1"/>
  <c r="E685" i="20"/>
  <c r="G685" i="20" s="1"/>
  <c r="G870" i="20"/>
  <c r="H874" i="20" s="1"/>
  <c r="E80" i="14"/>
  <c r="G80" i="14" s="1"/>
  <c r="H85" i="14" s="1"/>
  <c r="G60" i="14" s="1"/>
  <c r="H63" i="14" s="1"/>
  <c r="H87" i="14" s="1"/>
  <c r="E33" i="25"/>
  <c r="G33" i="25" s="1"/>
  <c r="H232" i="22"/>
  <c r="E225" i="7"/>
  <c r="G225" i="7" s="1"/>
  <c r="E1049" i="16"/>
  <c r="G1049" i="16" s="1"/>
  <c r="H1054" i="16" s="1"/>
  <c r="E174" i="19"/>
  <c r="G174" i="19" s="1"/>
  <c r="G665" i="16"/>
  <c r="E1288" i="16"/>
  <c r="G1288" i="16" s="1"/>
  <c r="H1293" i="16" s="1"/>
  <c r="E34" i="7"/>
  <c r="G34" i="7" s="1"/>
  <c r="E465" i="20"/>
  <c r="G465" i="20" s="1"/>
  <c r="H462" i="7"/>
  <c r="E953" i="16"/>
  <c r="G953" i="16" s="1"/>
  <c r="H958" i="16" s="1"/>
  <c r="H960" i="16" s="1"/>
  <c r="G1734" i="16"/>
  <c r="H1739" i="16" s="1"/>
  <c r="H277" i="22"/>
  <c r="G252" i="22" s="1"/>
  <c r="H255" i="22" s="1"/>
  <c r="H279" i="22" s="1"/>
  <c r="E225" i="16"/>
  <c r="G225" i="16" s="1"/>
  <c r="H230" i="16" s="1"/>
  <c r="H232" i="16" s="1"/>
  <c r="E176" i="24"/>
  <c r="G176" i="24" s="1"/>
  <c r="H181" i="24" s="1"/>
  <c r="G156" i="24" s="1"/>
  <c r="H159" i="24" s="1"/>
  <c r="H183" i="24" s="1"/>
  <c r="C77" i="4"/>
  <c r="E77" i="4" s="1"/>
  <c r="G77" i="4" s="1"/>
  <c r="H82" i="4" s="1"/>
  <c r="G59" i="4" s="1"/>
  <c r="H61" i="4" s="1"/>
  <c r="H84" i="4" s="1"/>
  <c r="G89" i="4" s="1"/>
  <c r="C121" i="21"/>
  <c r="E121" i="21" s="1"/>
  <c r="G121" i="21" s="1"/>
  <c r="H126" i="21" s="1"/>
  <c r="G101" i="21" s="1"/>
  <c r="H104" i="21" s="1"/>
  <c r="C31" i="4"/>
  <c r="E31" i="4" s="1"/>
  <c r="G31" i="4" s="1"/>
  <c r="H36" i="4" s="1"/>
  <c r="G12" i="4" s="1"/>
  <c r="H15" i="4" s="1"/>
  <c r="H38" i="4" s="1"/>
  <c r="E33" i="7"/>
  <c r="G33" i="7" s="1"/>
  <c r="M61" i="29"/>
  <c r="N61" i="29" s="1"/>
  <c r="H61" i="29"/>
  <c r="I61" i="29" s="1"/>
  <c r="I64" i="29"/>
  <c r="E32" i="14"/>
  <c r="G32" i="14" s="1"/>
  <c r="H37" i="14" s="1"/>
  <c r="G12" i="14" s="1"/>
  <c r="H15" i="14" s="1"/>
  <c r="H39" i="14" s="1"/>
  <c r="E1384" i="16"/>
  <c r="G1384" i="16" s="1"/>
  <c r="H816" i="16"/>
  <c r="G821" i="16" s="1"/>
  <c r="E274" i="10"/>
  <c r="G274" i="10" s="1"/>
  <c r="H402" i="19"/>
  <c r="E905" i="16"/>
  <c r="G905" i="16" s="1"/>
  <c r="H910" i="16" s="1"/>
  <c r="E885" i="16" s="1"/>
  <c r="G885" i="16" s="1"/>
  <c r="H888" i="16" s="1"/>
  <c r="H912" i="16" s="1"/>
  <c r="H88" i="21"/>
  <c r="G92" i="21" s="1"/>
  <c r="H87" i="9"/>
  <c r="G44" i="9"/>
  <c r="G43" i="9"/>
  <c r="G140" i="10"/>
  <c r="G139" i="10"/>
  <c r="G188" i="24"/>
  <c r="G187" i="24"/>
  <c r="G205" i="4"/>
  <c r="H206" i="4" s="1"/>
  <c r="E418" i="7"/>
  <c r="G418" i="7" s="1"/>
  <c r="H421" i="7" s="1"/>
  <c r="G397" i="7" s="1"/>
  <c r="H400" i="7" s="1"/>
  <c r="H37" i="7"/>
  <c r="G13" i="7" s="1"/>
  <c r="H16" i="7" s="1"/>
  <c r="H39" i="7" s="1"/>
  <c r="E274" i="7"/>
  <c r="G274" i="7" s="1"/>
  <c r="E211" i="7"/>
  <c r="G211" i="7" s="1"/>
  <c r="G44" i="24"/>
  <c r="E26" i="6"/>
  <c r="E761" i="16"/>
  <c r="G761" i="16" s="1"/>
  <c r="H766" i="16" s="1"/>
  <c r="E741" i="16" s="1"/>
  <c r="G741" i="16" s="1"/>
  <c r="H744" i="16" s="1"/>
  <c r="H768" i="16" s="1"/>
  <c r="E369" i="7"/>
  <c r="G369" i="7" s="1"/>
  <c r="H373" i="7" s="1"/>
  <c r="G349" i="7" s="1"/>
  <c r="H352" i="7" s="1"/>
  <c r="H375" i="7" s="1"/>
  <c r="G567" i="16"/>
  <c r="H572" i="16" s="1"/>
  <c r="G235" i="22"/>
  <c r="G236" i="22"/>
  <c r="G140" i="24"/>
  <c r="G401" i="20"/>
  <c r="H404" i="20" s="1"/>
  <c r="G117" i="8"/>
  <c r="H121" i="8" s="1"/>
  <c r="G353" i="20"/>
  <c r="H356" i="20" s="1"/>
  <c r="H280" i="9"/>
  <c r="E465" i="16"/>
  <c r="G465" i="16" s="1"/>
  <c r="H470" i="16" s="1"/>
  <c r="H472" i="16" s="1"/>
  <c r="E273" i="16"/>
  <c r="G273" i="16" s="1"/>
  <c r="H278" i="16" s="1"/>
  <c r="H280" i="16" s="1"/>
  <c r="E81" i="8"/>
  <c r="G81" i="8" s="1"/>
  <c r="E1835" i="16"/>
  <c r="G1835" i="16" s="1"/>
  <c r="H1840" i="16" s="1"/>
  <c r="E1816" i="16" s="1"/>
  <c r="G1816" i="16" s="1"/>
  <c r="H1819" i="16" s="1"/>
  <c r="H1842" i="16" s="1"/>
  <c r="H279" i="10"/>
  <c r="G254" i="10" s="1"/>
  <c r="H257" i="10" s="1"/>
  <c r="H281" i="10" s="1"/>
  <c r="G92" i="10"/>
  <c r="G91" i="10"/>
  <c r="G139" i="22"/>
  <c r="G92" i="24"/>
  <c r="E466" i="7"/>
  <c r="G466" i="7" s="1"/>
  <c r="H183" i="10"/>
  <c r="G156" i="10" s="1"/>
  <c r="H159" i="10" s="1"/>
  <c r="H185" i="10" s="1"/>
  <c r="G161" i="4"/>
  <c r="H162" i="4" s="1"/>
  <c r="G188" i="9"/>
  <c r="G305" i="20"/>
  <c r="H308" i="20" s="1"/>
  <c r="E33" i="12"/>
  <c r="G33" i="12" s="1"/>
  <c r="H37" i="12" s="1"/>
  <c r="G12" i="12" s="1"/>
  <c r="H15" i="12" s="1"/>
  <c r="H39" i="12" s="1"/>
  <c r="E79" i="2"/>
  <c r="G79" i="2" s="1"/>
  <c r="H84" i="2" s="1"/>
  <c r="G59" i="2" s="1"/>
  <c r="H62" i="2" s="1"/>
  <c r="E413" i="20"/>
  <c r="G413" i="20" s="1"/>
  <c r="E130" i="8"/>
  <c r="G130" i="8" s="1"/>
  <c r="G524" i="7"/>
  <c r="G140" i="9"/>
  <c r="E1883" i="16"/>
  <c r="G1883" i="16" s="1"/>
  <c r="H1888" i="16" s="1"/>
  <c r="H1890" i="16" s="1"/>
  <c r="H463" i="19"/>
  <c r="G524" i="20" l="1"/>
  <c r="G525" i="20"/>
  <c r="G526" i="20"/>
  <c r="G127" i="20"/>
  <c r="H130" i="20" s="1"/>
  <c r="H154" i="20" s="1"/>
  <c r="H182" i="8"/>
  <c r="G157" i="8" s="1"/>
  <c r="H160" i="8" s="1"/>
  <c r="H184" i="8" s="1"/>
  <c r="H764" i="20"/>
  <c r="G739" i="20" s="1"/>
  <c r="H744" i="20" s="1"/>
  <c r="G205" i="20"/>
  <c r="H208" i="20" s="1"/>
  <c r="H232" i="20" s="1"/>
  <c r="H670" i="16"/>
  <c r="E645" i="16" s="1"/>
  <c r="G645" i="16" s="1"/>
  <c r="H649" i="16" s="1"/>
  <c r="H672" i="16" s="1"/>
  <c r="H191" i="20"/>
  <c r="H134" i="16"/>
  <c r="E404" i="7"/>
  <c r="G404" i="7" s="1"/>
  <c r="E788" i="20"/>
  <c r="G788" i="20" s="1"/>
  <c r="H790" i="20" s="1"/>
  <c r="G44" i="10"/>
  <c r="H521" i="16"/>
  <c r="H269" i="20"/>
  <c r="G88" i="4"/>
  <c r="G571" i="7"/>
  <c r="F119" i="1"/>
  <c r="H567" i="20"/>
  <c r="H803" i="20"/>
  <c r="G777" i="20" s="1"/>
  <c r="H782" i="20" s="1"/>
  <c r="H805" i="20" s="1"/>
  <c r="H370" i="19"/>
  <c r="G343" i="19" s="1"/>
  <c r="H346" i="19" s="1"/>
  <c r="H372" i="19" s="1"/>
  <c r="H176" i="12"/>
  <c r="G151" i="12" s="1"/>
  <c r="H154" i="12" s="1"/>
  <c r="H178" i="12" s="1"/>
  <c r="G1991" i="16"/>
  <c r="H1389" i="16"/>
  <c r="E1364" i="16" s="1"/>
  <c r="G1364" i="16" s="1"/>
  <c r="H1367" i="16" s="1"/>
  <c r="H1391" i="16" s="1"/>
  <c r="G437" i="19"/>
  <c r="H441" i="19" s="1"/>
  <c r="H37" i="19"/>
  <c r="G12" i="19" s="1"/>
  <c r="H15" i="19" s="1"/>
  <c r="H178" i="19"/>
  <c r="G153" i="19" s="1"/>
  <c r="H156" i="19" s="1"/>
  <c r="H887" i="20"/>
  <c r="G856" i="20" s="1"/>
  <c r="H859" i="20" s="1"/>
  <c r="H469" i="20"/>
  <c r="G440" i="20" s="1"/>
  <c r="H443" i="20" s="1"/>
  <c r="H471" i="20" s="1"/>
  <c r="G476" i="20" s="1"/>
  <c r="E349" i="16"/>
  <c r="G349" i="16" s="1"/>
  <c r="H352" i="16" s="1"/>
  <c r="H376" i="16" s="1"/>
  <c r="E544" i="16"/>
  <c r="G544" i="16" s="1"/>
  <c r="H548" i="16" s="1"/>
  <c r="H574" i="16" s="1"/>
  <c r="E1708" i="16"/>
  <c r="G1708" i="16" s="1"/>
  <c r="H1711" i="16" s="1"/>
  <c r="H1741" i="16" s="1"/>
  <c r="E1600" i="16"/>
  <c r="G1600" i="16" s="1"/>
  <c r="H1603" i="16" s="1"/>
  <c r="H1633" i="16" s="1"/>
  <c r="E493" i="16"/>
  <c r="G493" i="16" s="1"/>
  <c r="H497" i="16" s="1"/>
  <c r="H523" i="16" s="1"/>
  <c r="G1691" i="16"/>
  <c r="E1268" i="16"/>
  <c r="G1268" i="16" s="1"/>
  <c r="H1271" i="16" s="1"/>
  <c r="H1295" i="16" s="1"/>
  <c r="E1220" i="16"/>
  <c r="G1220" i="16" s="1"/>
  <c r="H1223" i="16" s="1"/>
  <c r="H1246" i="16" s="1"/>
  <c r="G1204" i="16"/>
  <c r="G1943" i="16"/>
  <c r="G1488" i="16"/>
  <c r="G1692" i="16"/>
  <c r="G1489" i="16"/>
  <c r="H1150" i="16"/>
  <c r="E1125" i="16" s="1"/>
  <c r="G1125" i="16" s="1"/>
  <c r="H1128" i="16" s="1"/>
  <c r="H1152" i="16" s="1"/>
  <c r="G1156" i="16" s="1"/>
  <c r="H326" i="16"/>
  <c r="E301" i="16" s="1"/>
  <c r="G301" i="16" s="1"/>
  <c r="H304" i="16" s="1"/>
  <c r="H328" i="16" s="1"/>
  <c r="G1800" i="16"/>
  <c r="G1584" i="16"/>
  <c r="E595" i="16"/>
  <c r="G595" i="16" s="1"/>
  <c r="H599" i="16" s="1"/>
  <c r="E1029" i="16"/>
  <c r="G1029" i="16" s="1"/>
  <c r="H1032" i="16" s="1"/>
  <c r="H1056" i="16" s="1"/>
  <c r="G725" i="16"/>
  <c r="G724" i="16"/>
  <c r="G1536" i="16"/>
  <c r="G1537" i="16"/>
  <c r="G188" i="16"/>
  <c r="G92" i="16"/>
  <c r="G1348" i="16"/>
  <c r="H13" i="26"/>
  <c r="H12" i="26"/>
  <c r="H11" i="26"/>
  <c r="H10" i="26"/>
  <c r="H321" i="20"/>
  <c r="G296" i="20" s="1"/>
  <c r="H299" i="20" s="1"/>
  <c r="H323" i="20" s="1"/>
  <c r="H369" i="20"/>
  <c r="H889" i="20"/>
  <c r="G189" i="16"/>
  <c r="H277" i="7"/>
  <c r="G253" i="7" s="1"/>
  <c r="H256" i="7" s="1"/>
  <c r="H279" i="7" s="1"/>
  <c r="H84" i="19"/>
  <c r="G59" i="19" s="1"/>
  <c r="H62" i="19" s="1"/>
  <c r="H417" i="20"/>
  <c r="G392" i="20" s="1"/>
  <c r="H395" i="20" s="1"/>
  <c r="H419" i="20" s="1"/>
  <c r="G423" i="20" s="1"/>
  <c r="G1108" i="16"/>
  <c r="G1109" i="16"/>
  <c r="H229" i="7"/>
  <c r="G205" i="7" s="1"/>
  <c r="H208" i="7" s="1"/>
  <c r="H231" i="10"/>
  <c r="G206" i="10" s="1"/>
  <c r="H209" i="10" s="1"/>
  <c r="G868" i="16"/>
  <c r="G869" i="16"/>
  <c r="G820" i="16"/>
  <c r="G964" i="16"/>
  <c r="G965" i="16"/>
  <c r="H181" i="7"/>
  <c r="G157" i="7" s="1"/>
  <c r="H160" i="7" s="1"/>
  <c r="H183" i="7" s="1"/>
  <c r="H176" i="4"/>
  <c r="H220" i="4"/>
  <c r="H651" i="20"/>
  <c r="G628" i="20" s="1"/>
  <c r="H632" i="20" s="1"/>
  <c r="H613" i="20"/>
  <c r="G590" i="20" s="1"/>
  <c r="H594" i="20" s="1"/>
  <c r="H615" i="20" s="1"/>
  <c r="G140" i="7"/>
  <c r="G139" i="7"/>
  <c r="G44" i="21"/>
  <c r="G43" i="16"/>
  <c r="G44" i="16"/>
  <c r="G283" i="22"/>
  <c r="H417" i="19"/>
  <c r="G282" i="22"/>
  <c r="H688" i="20"/>
  <c r="G664" i="20" s="1"/>
  <c r="H668" i="20" s="1"/>
  <c r="H134" i="8"/>
  <c r="G108" i="8" s="1"/>
  <c r="H111" i="8" s="1"/>
  <c r="H136" i="8" s="1"/>
  <c r="G179" i="21"/>
  <c r="H85" i="8"/>
  <c r="G60" i="8" s="1"/>
  <c r="H63" i="8" s="1"/>
  <c r="H87" i="8" s="1"/>
  <c r="G92" i="8" s="1"/>
  <c r="G1444" i="16"/>
  <c r="H469" i="7"/>
  <c r="G445" i="7" s="1"/>
  <c r="H448" i="7" s="1"/>
  <c r="H37" i="22"/>
  <c r="G12" i="22" s="1"/>
  <c r="H15" i="22" s="1"/>
  <c r="H39" i="22" s="1"/>
  <c r="E445" i="19"/>
  <c r="G445" i="19" s="1"/>
  <c r="G446" i="19" s="1"/>
  <c r="H450" i="19" s="1"/>
  <c r="G41" i="4"/>
  <c r="G421" i="19"/>
  <c r="E452" i="7"/>
  <c r="G452" i="7" s="1"/>
  <c r="G455" i="7" s="1"/>
  <c r="H457" i="7" s="1"/>
  <c r="G42" i="4"/>
  <c r="I102" i="29"/>
  <c r="E230" i="1" s="1"/>
  <c r="F230" i="1" s="1"/>
  <c r="F233" i="1" s="1"/>
  <c r="E66" i="2"/>
  <c r="G66" i="2" s="1"/>
  <c r="G68" i="2" s="1"/>
  <c r="H71" i="2" s="1"/>
  <c r="H86" i="2" s="1"/>
  <c r="G43" i="4"/>
  <c r="E19" i="2"/>
  <c r="G19" i="2" s="1"/>
  <c r="E65" i="19"/>
  <c r="G65" i="19" s="1"/>
  <c r="E206" i="19"/>
  <c r="G206" i="19" s="1"/>
  <c r="E18" i="19"/>
  <c r="G18" i="19" s="1"/>
  <c r="G180" i="4"/>
  <c r="G224" i="4"/>
  <c r="G43" i="12"/>
  <c r="G285" i="16"/>
  <c r="G284" i="16"/>
  <c r="G190" i="10"/>
  <c r="G189" i="10"/>
  <c r="G189" i="8"/>
  <c r="G188" i="8"/>
  <c r="G476" i="16"/>
  <c r="G477" i="16"/>
  <c r="G44" i="14"/>
  <c r="G43" i="14"/>
  <c r="G44" i="25"/>
  <c r="G43" i="25"/>
  <c r="F190" i="1"/>
  <c r="F199" i="1" s="1"/>
  <c r="G44" i="7"/>
  <c r="G43" i="7"/>
  <c r="I30" i="7"/>
  <c r="G285" i="10"/>
  <c r="G286" i="10"/>
  <c r="H237" i="22"/>
  <c r="H239" i="22" s="1"/>
  <c r="G236" i="9"/>
  <c r="G235" i="9"/>
  <c r="H284" i="22"/>
  <c r="H286" i="22" s="1"/>
  <c r="E18" i="8"/>
  <c r="G18" i="8" s="1"/>
  <c r="G134" i="4"/>
  <c r="G133" i="4"/>
  <c r="G135" i="4"/>
  <c r="G90" i="12"/>
  <c r="G894" i="20"/>
  <c r="G285" i="9"/>
  <c r="G284" i="9"/>
  <c r="F34" i="1"/>
  <c r="G773" i="16"/>
  <c r="G772" i="16"/>
  <c r="G92" i="7"/>
  <c r="G91" i="7"/>
  <c r="G429" i="16"/>
  <c r="G428" i="16"/>
  <c r="G332" i="7"/>
  <c r="G331" i="7"/>
  <c r="G1847" i="16"/>
  <c r="G1846" i="16"/>
  <c r="F216" i="1"/>
  <c r="G137" i="12"/>
  <c r="G214" i="7"/>
  <c r="H216" i="7" s="1"/>
  <c r="H231" i="7" s="1"/>
  <c r="F36" i="1"/>
  <c r="G90" i="14"/>
  <c r="G92" i="14"/>
  <c r="G91" i="14"/>
  <c r="G1895" i="16"/>
  <c r="G1894" i="16"/>
  <c r="G188" i="22"/>
  <c r="G296" i="19"/>
  <c r="H299" i="19" s="1"/>
  <c r="H325" i="19" s="1"/>
  <c r="G90" i="22"/>
  <c r="G917" i="16"/>
  <c r="G916" i="16"/>
  <c r="G21" i="2"/>
  <c r="H24" i="2" s="1"/>
  <c r="H39" i="2" s="1"/>
  <c r="G187" i="7"/>
  <c r="G188" i="7"/>
  <c r="G283" i="7"/>
  <c r="F214" i="1"/>
  <c r="G1013" i="16"/>
  <c r="G1012" i="16"/>
  <c r="G407" i="7"/>
  <c r="H409" i="7" s="1"/>
  <c r="H423" i="7" s="1"/>
  <c r="G379" i="7"/>
  <c r="G380" i="7"/>
  <c r="G237" i="16"/>
  <c r="G236" i="16"/>
  <c r="F212" i="1"/>
  <c r="G92" i="9"/>
  <c r="G91" i="9"/>
  <c r="G380" i="16" l="1"/>
  <c r="G381" i="16"/>
  <c r="I152" i="20"/>
  <c r="G166" i="20"/>
  <c r="H169" i="20" s="1"/>
  <c r="H193" i="20" s="1"/>
  <c r="I191" i="20"/>
  <c r="I230" i="20"/>
  <c r="G244" i="20"/>
  <c r="H247" i="20" s="1"/>
  <c r="H271" i="20" s="1"/>
  <c r="I269" i="20" s="1"/>
  <c r="F146" i="1"/>
  <c r="H471" i="7"/>
  <c r="G225" i="4"/>
  <c r="E547" i="20"/>
  <c r="G547" i="20" s="1"/>
  <c r="H555" i="20" s="1"/>
  <c r="E747" i="20"/>
  <c r="I168" i="12"/>
  <c r="G182" i="12"/>
  <c r="E112" i="19"/>
  <c r="G112" i="19" s="1"/>
  <c r="E606" i="16"/>
  <c r="G606" i="16" s="1"/>
  <c r="H609" i="16" s="1"/>
  <c r="H624" i="16" s="1"/>
  <c r="G376" i="19"/>
  <c r="E253" i="19"/>
  <c r="G253" i="19" s="1"/>
  <c r="E159" i="19"/>
  <c r="G159" i="19" s="1"/>
  <c r="H136" i="16"/>
  <c r="E108" i="16"/>
  <c r="G108" i="16" s="1"/>
  <c r="H111" i="16" s="1"/>
  <c r="H527" i="20"/>
  <c r="H529" i="20" s="1"/>
  <c r="G181" i="4"/>
  <c r="G541" i="20"/>
  <c r="H544" i="20" s="1"/>
  <c r="H569" i="20" s="1"/>
  <c r="H14" i="26"/>
  <c r="H16" i="26" s="1"/>
  <c r="H17" i="26" s="1"/>
  <c r="H29" i="26" s="1"/>
  <c r="G41" i="26" s="1"/>
  <c r="H465" i="19"/>
  <c r="G284" i="7"/>
  <c r="I325" i="19"/>
  <c r="F57" i="1"/>
  <c r="G475" i="20"/>
  <c r="G893" i="20"/>
  <c r="G344" i="20"/>
  <c r="H347" i="20" s="1"/>
  <c r="H371" i="20" s="1"/>
  <c r="G376" i="20" s="1"/>
  <c r="G1395" i="16"/>
  <c r="G1396" i="16"/>
  <c r="G1637" i="16"/>
  <c r="G1638" i="16"/>
  <c r="G1746" i="16"/>
  <c r="G1745" i="16"/>
  <c r="G578" i="16"/>
  <c r="G579" i="16"/>
  <c r="G527" i="16"/>
  <c r="G528" i="16"/>
  <c r="G1300" i="16"/>
  <c r="G1299" i="16"/>
  <c r="G1157" i="16"/>
  <c r="G332" i="16"/>
  <c r="G333" i="16"/>
  <c r="G676" i="16"/>
  <c r="G677" i="16"/>
  <c r="G1061" i="16"/>
  <c r="G1060" i="16"/>
  <c r="F112" i="1"/>
  <c r="E111" i="21"/>
  <c r="G111" i="21" s="1"/>
  <c r="H113" i="21" s="1"/>
  <c r="H128" i="21" s="1"/>
  <c r="E213" i="10"/>
  <c r="G213" i="10" s="1"/>
  <c r="G214" i="10" s="1"/>
  <c r="H218" i="10" s="1"/>
  <c r="H233" i="10" s="1"/>
  <c r="G91" i="8"/>
  <c r="F29" i="1"/>
  <c r="F38" i="1" s="1"/>
  <c r="G43" i="22"/>
  <c r="G375" i="20"/>
  <c r="G424" i="20"/>
  <c r="H44" i="4"/>
  <c r="H46" i="4" s="1"/>
  <c r="E710" i="20" s="1"/>
  <c r="G710" i="20" s="1"/>
  <c r="H713" i="20" s="1"/>
  <c r="H728" i="20" s="1"/>
  <c r="I207" i="29"/>
  <c r="G428" i="7"/>
  <c r="G427" i="7"/>
  <c r="G90" i="2"/>
  <c r="G476" i="7"/>
  <c r="G475" i="7"/>
  <c r="G259" i="19"/>
  <c r="H261" i="19" s="1"/>
  <c r="H276" i="19" s="1"/>
  <c r="F152" i="1"/>
  <c r="G114" i="19"/>
  <c r="H118" i="19" s="1"/>
  <c r="H133" i="19" s="1"/>
  <c r="G161" i="19"/>
  <c r="H165" i="19" s="1"/>
  <c r="H180" i="19" s="1"/>
  <c r="G236" i="7"/>
  <c r="G235" i="7"/>
  <c r="I229" i="7"/>
  <c r="F19" i="1"/>
  <c r="F62" i="1"/>
  <c r="F183" i="1"/>
  <c r="G208" i="19"/>
  <c r="H212" i="19" s="1"/>
  <c r="H227" i="19" s="1"/>
  <c r="G328" i="20"/>
  <c r="G327" i="20"/>
  <c r="G329" i="19"/>
  <c r="F219" i="1"/>
  <c r="H136" i="4"/>
  <c r="H138" i="4" s="1"/>
  <c r="H93" i="14"/>
  <c r="H95" i="14" s="1"/>
  <c r="E186" i="1" s="1"/>
  <c r="F186" i="1" s="1"/>
  <c r="G141" i="8"/>
  <c r="G140" i="8"/>
  <c r="G69" i="19"/>
  <c r="H71" i="19" s="1"/>
  <c r="H86" i="19" s="1"/>
  <c r="G43" i="2"/>
  <c r="G20" i="8"/>
  <c r="H24" i="8" s="1"/>
  <c r="H39" i="8" s="1"/>
  <c r="F157" i="1"/>
  <c r="G20" i="19"/>
  <c r="H24" i="19" s="1"/>
  <c r="H39" i="19" s="1"/>
  <c r="G34" i="26" l="1"/>
  <c r="H30" i="26"/>
  <c r="H31" i="26" s="1"/>
  <c r="G35" i="26"/>
  <c r="G37" i="26"/>
  <c r="G38" i="26"/>
  <c r="G39" i="26"/>
  <c r="G36" i="26"/>
  <c r="G628" i="16"/>
  <c r="G629" i="16"/>
  <c r="G574" i="20"/>
  <c r="G573" i="20"/>
  <c r="G132" i="21"/>
  <c r="I261" i="20"/>
  <c r="G747" i="20"/>
  <c r="E748" i="20"/>
  <c r="G748" i="20" s="1"/>
  <c r="F123" i="1"/>
  <c r="G469" i="19"/>
  <c r="G141" i="16"/>
  <c r="G140" i="16"/>
  <c r="I463" i="19"/>
  <c r="F49" i="1"/>
  <c r="F65" i="1"/>
  <c r="F71" i="1"/>
  <c r="I369" i="20"/>
  <c r="E673" i="20"/>
  <c r="G673" i="20" s="1"/>
  <c r="H675" i="20" s="1"/>
  <c r="H690" i="20" s="1"/>
  <c r="E636" i="20"/>
  <c r="G636" i="20" s="1"/>
  <c r="H638" i="20" s="1"/>
  <c r="H653" i="20" s="1"/>
  <c r="F154" i="1"/>
  <c r="G137" i="19"/>
  <c r="G43" i="19"/>
  <c r="G280" i="19"/>
  <c r="G90" i="19"/>
  <c r="I84" i="19"/>
  <c r="G44" i="8"/>
  <c r="G43" i="8"/>
  <c r="F162" i="1"/>
  <c r="F171" i="1" s="1"/>
  <c r="G184" i="19"/>
  <c r="G231" i="19"/>
  <c r="G238" i="10"/>
  <c r="F202" i="1"/>
  <c r="G237" i="10"/>
  <c r="F68" i="1"/>
  <c r="F185" i="1"/>
  <c r="F187" i="1" s="1"/>
  <c r="F176" i="1"/>
  <c r="H751" i="20" l="1"/>
  <c r="H766" i="20" s="1"/>
  <c r="F128" i="1" s="1"/>
  <c r="F143" i="1" s="1"/>
  <c r="F41" i="1"/>
  <c r="F54" i="1" s="1"/>
  <c r="F82" i="1"/>
  <c r="F93" i="1"/>
  <c r="F209" i="1"/>
  <c r="F174" i="1"/>
  <c r="F180" i="1" s="1"/>
  <c r="F26" i="1"/>
  <c r="F116" i="1" l="1"/>
  <c r="F221" i="1" s="1"/>
  <c r="F225" i="1" l="1"/>
  <c r="I143" i="1"/>
  <c r="F223" i="1"/>
  <c r="G51" i="1"/>
  <c r="G60" i="1"/>
  <c r="G72" i="1"/>
  <c r="G121" i="1"/>
  <c r="G101" i="1"/>
  <c r="G85" i="1"/>
  <c r="G115" i="1"/>
  <c r="G54" i="1"/>
  <c r="G133" i="1"/>
  <c r="G196" i="1"/>
  <c r="G177" i="1"/>
  <c r="G163" i="1"/>
  <c r="G25" i="1"/>
  <c r="G213" i="1"/>
  <c r="G147" i="1"/>
  <c r="G215" i="1"/>
  <c r="G197" i="1"/>
  <c r="G179" i="1"/>
  <c r="G164" i="1"/>
  <c r="G148" i="1"/>
  <c r="G135" i="1"/>
  <c r="G120" i="1"/>
  <c r="G102" i="1"/>
  <c r="G88" i="1"/>
  <c r="G59" i="1"/>
  <c r="G35" i="1"/>
  <c r="G195" i="1"/>
  <c r="G160" i="1"/>
  <c r="G143" i="1"/>
  <c r="G132" i="1"/>
  <c r="G114" i="1"/>
  <c r="G100" i="1"/>
  <c r="G83" i="1"/>
  <c r="G23" i="1"/>
  <c r="G193" i="1"/>
  <c r="G159" i="1"/>
  <c r="G141" i="1"/>
  <c r="G131" i="1"/>
  <c r="G110" i="1"/>
  <c r="G98" i="1"/>
  <c r="G80" i="1"/>
  <c r="G50" i="1"/>
  <c r="K35" i="29"/>
  <c r="G208" i="1"/>
  <c r="G231" i="1"/>
  <c r="G206" i="1"/>
  <c r="G191" i="1"/>
  <c r="G169" i="1"/>
  <c r="G158" i="1"/>
  <c r="G140" i="1"/>
  <c r="G129" i="1"/>
  <c r="G109" i="1"/>
  <c r="G97" i="1"/>
  <c r="G76" i="1"/>
  <c r="G47" i="1"/>
  <c r="G233" i="1"/>
  <c r="G204" i="1"/>
  <c r="G187" i="1"/>
  <c r="G168" i="1"/>
  <c r="G153" i="1"/>
  <c r="G139" i="1"/>
  <c r="G127" i="1"/>
  <c r="G108" i="1"/>
  <c r="G94" i="1"/>
  <c r="G74" i="1"/>
  <c r="G45" i="1"/>
  <c r="G175" i="1"/>
  <c r="G207" i="1"/>
  <c r="G230" i="1"/>
  <c r="G219" i="1"/>
  <c r="G203" i="1"/>
  <c r="G184" i="1"/>
  <c r="G167" i="1"/>
  <c r="G151" i="1"/>
  <c r="G137" i="1"/>
  <c r="G124" i="1"/>
  <c r="G106" i="1"/>
  <c r="G91" i="1"/>
  <c r="K102" i="29"/>
  <c r="G26" i="1"/>
  <c r="G52" i="1"/>
  <c r="G66" i="1"/>
  <c r="G77" i="1"/>
  <c r="G86" i="1"/>
  <c r="G95" i="1"/>
  <c r="G103" i="1"/>
  <c r="G111" i="1"/>
  <c r="G125" i="1"/>
  <c r="G134" i="1"/>
  <c r="G142" i="1"/>
  <c r="G154" i="1"/>
  <c r="G166" i="1"/>
  <c r="G178" i="1"/>
  <c r="G194" i="1"/>
  <c r="G205" i="1"/>
  <c r="G218" i="1"/>
  <c r="G30" i="1"/>
  <c r="G53" i="1"/>
  <c r="G67" i="1"/>
  <c r="G78" i="1"/>
  <c r="G96" i="1"/>
  <c r="G104" i="1"/>
  <c r="G113" i="1"/>
  <c r="K151" i="29"/>
  <c r="G43" i="1"/>
  <c r="G87" i="1"/>
  <c r="G126" i="1"/>
  <c r="K205" i="29"/>
  <c r="G31" i="1"/>
  <c r="G44" i="1"/>
  <c r="G68" i="1"/>
  <c r="G79" i="1"/>
  <c r="G20" i="1"/>
  <c r="G32" i="1"/>
  <c r="G21" i="1"/>
  <c r="G33" i="1"/>
  <c r="G46" i="1"/>
  <c r="G58" i="1"/>
  <c r="G73" i="1"/>
  <c r="G81" i="1"/>
  <c r="G90" i="1"/>
  <c r="G99" i="1"/>
  <c r="G107" i="1"/>
  <c r="G116" i="1"/>
  <c r="G130" i="1"/>
  <c r="G138" i="1"/>
  <c r="G149" i="1"/>
  <c r="G161" i="1"/>
  <c r="G170" i="1"/>
  <c r="G186" i="1"/>
  <c r="G198" i="1"/>
  <c r="G209" i="1"/>
  <c r="G232" i="1"/>
  <c r="H36" i="11"/>
  <c r="G24" i="1"/>
  <c r="G37" i="1"/>
  <c r="G48" i="1"/>
  <c r="G61" i="1"/>
  <c r="G75" i="1"/>
  <c r="G84" i="1"/>
  <c r="G92" i="1"/>
  <c r="G171" i="1"/>
  <c r="G217" i="1"/>
  <c r="G199" i="1"/>
  <c r="G180" i="1"/>
  <c r="G165" i="1"/>
  <c r="G150" i="1"/>
  <c r="G136" i="1"/>
  <c r="G122" i="1"/>
  <c r="G105" i="1"/>
  <c r="G89" i="1"/>
  <c r="G62" i="1"/>
  <c r="G38" i="1"/>
  <c r="C37" i="11" l="1"/>
  <c r="F474" i="20" s="1"/>
  <c r="G474" i="20" s="1"/>
  <c r="H477" i="20" s="1"/>
  <c r="H479" i="20" s="1"/>
  <c r="H38" i="11"/>
  <c r="H39" i="11" s="1"/>
  <c r="H40" i="11" s="1"/>
  <c r="F379" i="16" l="1"/>
  <c r="G379" i="16" s="1"/>
  <c r="H382" i="16" s="1"/>
  <c r="H384" i="16" s="1"/>
  <c r="E222" i="1"/>
  <c r="F572" i="20" s="1"/>
  <c r="G572" i="20" s="1"/>
  <c r="H575" i="20" s="1"/>
  <c r="H577" i="20" s="1"/>
  <c r="F179" i="4"/>
  <c r="G179" i="4" s="1"/>
  <c r="H182" i="4" s="1"/>
  <c r="H184" i="4" s="1"/>
  <c r="F522" i="7"/>
  <c r="G522" i="7" s="1"/>
  <c r="H525" i="7" s="1"/>
  <c r="H527" i="7" s="1"/>
  <c r="F378" i="7"/>
  <c r="G378" i="7" s="1"/>
  <c r="H381" i="7" s="1"/>
  <c r="H383" i="7" s="1"/>
  <c r="F234" i="7"/>
  <c r="G234" i="7" s="1"/>
  <c r="H237" i="7" s="1"/>
  <c r="H239" i="7" s="1"/>
  <c r="F90" i="7"/>
  <c r="G90" i="7" s="1"/>
  <c r="H93" i="7" s="1"/>
  <c r="H95" i="7" s="1"/>
  <c r="F234" i="9"/>
  <c r="G234" i="9" s="1"/>
  <c r="H237" i="9" s="1"/>
  <c r="H239" i="9" s="1"/>
  <c r="F90" i="9"/>
  <c r="G90" i="9" s="1"/>
  <c r="H93" i="9" s="1"/>
  <c r="H95" i="9" s="1"/>
  <c r="F1487" i="16"/>
  <c r="G1487" i="16" s="1"/>
  <c r="H1490" i="16" s="1"/>
  <c r="H1492" i="16" s="1"/>
  <c r="F89" i="19"/>
  <c r="G89" i="19" s="1"/>
  <c r="H91" i="19" s="1"/>
  <c r="H93" i="19" s="1"/>
  <c r="F187" i="8"/>
  <c r="G187" i="8" s="1"/>
  <c r="H190" i="8" s="1"/>
  <c r="H192" i="8" s="1"/>
  <c r="C39" i="11"/>
  <c r="F186" i="7"/>
  <c r="G186" i="7" s="1"/>
  <c r="H189" i="7" s="1"/>
  <c r="H191" i="7" s="1"/>
  <c r="F867" i="16"/>
  <c r="G867" i="16" s="1"/>
  <c r="H870" i="16" s="1"/>
  <c r="H872" i="16" s="1"/>
  <c r="F136" i="12"/>
  <c r="G136" i="12" s="1"/>
  <c r="H138" i="12" s="1"/>
  <c r="H140" i="12" s="1"/>
  <c r="F468" i="19"/>
  <c r="G468" i="19" s="1"/>
  <c r="H470" i="19" s="1"/>
  <c r="H472" i="19" s="1"/>
  <c r="F328" i="19"/>
  <c r="G328" i="19" s="1"/>
  <c r="H330" i="19" s="1"/>
  <c r="H332" i="19" s="1"/>
  <c r="F42" i="19"/>
  <c r="G42" i="19" s="1"/>
  <c r="H44" i="19" s="1"/>
  <c r="H46" i="19" s="1"/>
  <c r="F89" i="22"/>
  <c r="G89" i="22" s="1"/>
  <c r="H91" i="22" s="1"/>
  <c r="H93" i="22" s="1"/>
  <c r="F178" i="21"/>
  <c r="G178" i="21" s="1"/>
  <c r="H180" i="21" s="1"/>
  <c r="H182" i="21" s="1"/>
  <c r="F87" i="4"/>
  <c r="G87" i="4" s="1"/>
  <c r="H90" i="4" s="1"/>
  <c r="H92" i="4" s="1"/>
  <c r="F474" i="7"/>
  <c r="G474" i="7" s="1"/>
  <c r="H477" i="7" s="1"/>
  <c r="H479" i="7" s="1"/>
  <c r="F42" i="9"/>
  <c r="G42" i="9" s="1"/>
  <c r="H45" i="9" s="1"/>
  <c r="H47" i="9" s="1"/>
  <c r="F1893" i="16"/>
  <c r="G1893" i="16" s="1"/>
  <c r="H1896" i="16" s="1"/>
  <c r="H1898" i="16" s="1"/>
  <c r="F1744" i="16"/>
  <c r="G1744" i="16" s="1"/>
  <c r="H1747" i="16" s="1"/>
  <c r="H1749" i="16" s="1"/>
  <c r="F1582" i="16"/>
  <c r="G1582" i="16" s="1"/>
  <c r="H1585" i="16" s="1"/>
  <c r="H1587" i="16" s="1"/>
  <c r="F1155" i="16"/>
  <c r="G1155" i="16" s="1"/>
  <c r="H1158" i="16" s="1"/>
  <c r="H1160" i="16" s="1"/>
  <c r="F1011" i="16"/>
  <c r="G1011" i="16" s="1"/>
  <c r="H1014" i="16" s="1"/>
  <c r="H1016" i="16" s="1"/>
  <c r="F723" i="16"/>
  <c r="G723" i="16" s="1"/>
  <c r="H726" i="16" s="1"/>
  <c r="H728" i="16" s="1"/>
  <c r="F577" i="16"/>
  <c r="G577" i="16" s="1"/>
  <c r="H580" i="16" s="1"/>
  <c r="H582" i="16" s="1"/>
  <c r="F427" i="16"/>
  <c r="G427" i="16" s="1"/>
  <c r="H430" i="16" s="1"/>
  <c r="H432" i="16" s="1"/>
  <c r="F91" i="21" l="1"/>
  <c r="G91" i="21" s="1"/>
  <c r="H93" i="21" s="1"/>
  <c r="H95" i="21" s="1"/>
  <c r="F43" i="21"/>
  <c r="G43" i="21" s="1"/>
  <c r="H45" i="21" s="1"/>
  <c r="H47" i="21" s="1"/>
  <c r="F42" i="10"/>
  <c r="G42" i="10" s="1"/>
  <c r="H45" i="10" s="1"/>
  <c r="H47" i="10" s="1"/>
  <c r="F284" i="10"/>
  <c r="G284" i="10" s="1"/>
  <c r="H287" i="10" s="1"/>
  <c r="H289" i="10" s="1"/>
  <c r="F188" i="10"/>
  <c r="G188" i="10" s="1"/>
  <c r="H191" i="10" s="1"/>
  <c r="H193" i="10" s="1"/>
  <c r="F42" i="24"/>
  <c r="G42" i="24" s="1"/>
  <c r="H45" i="24" s="1"/>
  <c r="H47" i="24" s="1"/>
  <c r="F186" i="24"/>
  <c r="G186" i="24" s="1"/>
  <c r="H189" i="24" s="1"/>
  <c r="H191" i="24" s="1"/>
  <c r="F90" i="8"/>
  <c r="G90" i="8" s="1"/>
  <c r="H93" i="8" s="1"/>
  <c r="H95" i="8" s="1"/>
  <c r="F89" i="2"/>
  <c r="G89" i="2" s="1"/>
  <c r="H91" i="2" s="1"/>
  <c r="H93" i="2" s="1"/>
  <c r="F375" i="19"/>
  <c r="G375" i="19" s="1"/>
  <c r="H377" i="19" s="1"/>
  <c r="H379" i="19" s="1"/>
  <c r="F186" i="9"/>
  <c r="G186" i="9" s="1"/>
  <c r="H189" i="9" s="1"/>
  <c r="H191" i="9" s="1"/>
  <c r="F330" i="7"/>
  <c r="G330" i="7" s="1"/>
  <c r="H333" i="7" s="1"/>
  <c r="H335" i="7" s="1"/>
  <c r="F283" i="16"/>
  <c r="G283" i="16" s="1"/>
  <c r="H286" i="16" s="1"/>
  <c r="H288" i="16" s="1"/>
  <c r="F42" i="12"/>
  <c r="G42" i="12" s="1"/>
  <c r="H44" i="12" s="1"/>
  <c r="H46" i="12" s="1"/>
  <c r="F1442" i="16"/>
  <c r="G1442" i="16" s="1"/>
  <c r="H1445" i="16" s="1"/>
  <c r="H1447" i="16" s="1"/>
  <c r="F181" i="12"/>
  <c r="G181" i="12" s="1"/>
  <c r="H183" i="12" s="1"/>
  <c r="H185" i="12" s="1"/>
  <c r="F139" i="8"/>
  <c r="G139" i="8" s="1"/>
  <c r="H142" i="8" s="1"/>
  <c r="H144" i="8" s="1"/>
  <c r="F187" i="16"/>
  <c r="G187" i="16" s="1"/>
  <c r="H190" i="16" s="1"/>
  <c r="H192" i="16" s="1"/>
  <c r="F1298" i="16"/>
  <c r="G1298" i="16" s="1"/>
  <c r="H1301" i="16" s="1"/>
  <c r="H1303" i="16" s="1"/>
  <c r="F42" i="25"/>
  <c r="G42" i="25" s="1"/>
  <c r="H45" i="25" s="1"/>
  <c r="H47" i="25" s="1"/>
  <c r="F331" i="16"/>
  <c r="G331" i="16" s="1"/>
  <c r="H334" i="16" s="1"/>
  <c r="H336" i="16" s="1"/>
  <c r="F475" i="16"/>
  <c r="G475" i="16" s="1"/>
  <c r="H478" i="16" s="1"/>
  <c r="H480" i="16" s="1"/>
  <c r="F627" i="16"/>
  <c r="G627" i="16" s="1"/>
  <c r="H630" i="16" s="1"/>
  <c r="H632" i="16" s="1"/>
  <c r="F771" i="16"/>
  <c r="G771" i="16" s="1"/>
  <c r="H774" i="16" s="1"/>
  <c r="H776" i="16" s="1"/>
  <c r="F915" i="16"/>
  <c r="G915" i="16" s="1"/>
  <c r="H918" i="16" s="1"/>
  <c r="H920" i="16" s="1"/>
  <c r="F1059" i="16"/>
  <c r="G1059" i="16" s="1"/>
  <c r="H1062" i="16" s="1"/>
  <c r="H1064" i="16" s="1"/>
  <c r="F138" i="22"/>
  <c r="G138" i="22" s="1"/>
  <c r="H140" i="22" s="1"/>
  <c r="H142" i="22" s="1"/>
  <c r="F1346" i="16"/>
  <c r="G1346" i="16" s="1"/>
  <c r="H1349" i="16" s="1"/>
  <c r="H1351" i="16" s="1"/>
  <c r="F138" i="10"/>
  <c r="G138" i="10" s="1"/>
  <c r="H141" i="10" s="1"/>
  <c r="H143" i="10" s="1"/>
  <c r="F326" i="20"/>
  <c r="G326" i="20" s="1"/>
  <c r="H329" i="20" s="1"/>
  <c r="H331" i="20" s="1"/>
  <c r="F230" i="19"/>
  <c r="G230" i="19" s="1"/>
  <c r="H232" i="19" s="1"/>
  <c r="H234" i="19" s="1"/>
  <c r="F1202" i="16"/>
  <c r="G1202" i="16" s="1"/>
  <c r="H1205" i="16" s="1"/>
  <c r="H1207" i="16" s="1"/>
  <c r="F131" i="21"/>
  <c r="G131" i="21" s="1"/>
  <c r="H133" i="21" s="1"/>
  <c r="H135" i="21" s="1"/>
  <c r="F1636" i="16"/>
  <c r="G1636" i="16" s="1"/>
  <c r="H1639" i="16" s="1"/>
  <c r="H1641" i="16" s="1"/>
  <c r="F139" i="16"/>
  <c r="G139" i="16" s="1"/>
  <c r="H142" i="16" s="1"/>
  <c r="H144" i="16" s="1"/>
  <c r="F42" i="7"/>
  <c r="G42" i="7" s="1"/>
  <c r="H45" i="7" s="1"/>
  <c r="H47" i="7" s="1"/>
  <c r="F183" i="19"/>
  <c r="G183" i="19" s="1"/>
  <c r="H185" i="19" s="1"/>
  <c r="H187" i="19" s="1"/>
  <c r="F42" i="8"/>
  <c r="G42" i="8" s="1"/>
  <c r="H45" i="8" s="1"/>
  <c r="H47" i="8" s="1"/>
  <c r="F42" i="16"/>
  <c r="G42" i="16" s="1"/>
  <c r="H45" i="16" s="1"/>
  <c r="H47" i="16" s="1"/>
  <c r="F1798" i="16"/>
  <c r="G1798" i="16" s="1"/>
  <c r="H1801" i="16" s="1"/>
  <c r="H1803" i="16" s="1"/>
  <c r="F1941" i="16"/>
  <c r="G1941" i="16" s="1"/>
  <c r="H1944" i="16" s="1"/>
  <c r="H1946" i="16" s="1"/>
  <c r="F374" i="20"/>
  <c r="G374" i="20" s="1"/>
  <c r="H377" i="20" s="1"/>
  <c r="H379" i="20" s="1"/>
  <c r="F138" i="24"/>
  <c r="G138" i="24" s="1"/>
  <c r="H141" i="24" s="1"/>
  <c r="H143" i="24" s="1"/>
  <c r="F138" i="7"/>
  <c r="G138" i="7" s="1"/>
  <c r="H141" i="7" s="1"/>
  <c r="H143" i="7" s="1"/>
  <c r="F90" i="16"/>
  <c r="G90" i="16" s="1"/>
  <c r="H93" i="16" s="1"/>
  <c r="H95" i="16" s="1"/>
  <c r="F138" i="9"/>
  <c r="G138" i="9" s="1"/>
  <c r="H141" i="9" s="1"/>
  <c r="H143" i="9" s="1"/>
  <c r="F42" i="14"/>
  <c r="G42" i="14" s="1"/>
  <c r="H45" i="14" s="1"/>
  <c r="H47" i="14" s="1"/>
  <c r="F42" i="22"/>
  <c r="G42" i="22" s="1"/>
  <c r="H44" i="22" s="1"/>
  <c r="H46" i="22" s="1"/>
  <c r="F420" i="19"/>
  <c r="G420" i="19" s="1"/>
  <c r="H422" i="19" s="1"/>
  <c r="H424" i="19" s="1"/>
  <c r="F235" i="16"/>
  <c r="G235" i="16" s="1"/>
  <c r="H238" i="16" s="1"/>
  <c r="H240" i="16" s="1"/>
  <c r="F819" i="16"/>
  <c r="G819" i="16" s="1"/>
  <c r="H822" i="16" s="1"/>
  <c r="H824" i="16" s="1"/>
  <c r="F1394" i="16"/>
  <c r="G1394" i="16" s="1"/>
  <c r="H1397" i="16" s="1"/>
  <c r="H1399" i="16" s="1"/>
  <c r="F1989" i="16"/>
  <c r="G1989" i="16" s="1"/>
  <c r="H1992" i="16" s="1"/>
  <c r="H1994" i="16" s="1"/>
  <c r="F283" i="9"/>
  <c r="G283" i="9" s="1"/>
  <c r="H286" i="9" s="1"/>
  <c r="H288" i="9" s="1"/>
  <c r="F570" i="7"/>
  <c r="G570" i="7" s="1"/>
  <c r="H573" i="7" s="1"/>
  <c r="H575" i="7" s="1"/>
  <c r="F223" i="4"/>
  <c r="G223" i="4" s="1"/>
  <c r="H226" i="4" s="1"/>
  <c r="H228" i="4" s="1"/>
  <c r="F279" i="19"/>
  <c r="G279" i="19" s="1"/>
  <c r="H281" i="19" s="1"/>
  <c r="H283" i="19" s="1"/>
  <c r="F1845" i="16"/>
  <c r="G1845" i="16" s="1"/>
  <c r="H1848" i="16" s="1"/>
  <c r="H1850" i="16" s="1"/>
  <c r="F282" i="7"/>
  <c r="G282" i="7" s="1"/>
  <c r="H285" i="7" s="1"/>
  <c r="H287" i="7" s="1"/>
  <c r="F675" i="16"/>
  <c r="G675" i="16" s="1"/>
  <c r="H678" i="16" s="1"/>
  <c r="H680" i="16" s="1"/>
  <c r="F90" i="10"/>
  <c r="G90" i="10" s="1"/>
  <c r="H93" i="10" s="1"/>
  <c r="H95" i="10" s="1"/>
  <c r="F187" i="22"/>
  <c r="G187" i="22" s="1"/>
  <c r="H189" i="22" s="1"/>
  <c r="H191" i="22" s="1"/>
  <c r="F89" i="12"/>
  <c r="G89" i="12" s="1"/>
  <c r="H91" i="12" s="1"/>
  <c r="H93" i="12" s="1"/>
  <c r="F963" i="16"/>
  <c r="G963" i="16" s="1"/>
  <c r="H966" i="16" s="1"/>
  <c r="H968" i="16" s="1"/>
  <c r="F1535" i="16"/>
  <c r="G1535" i="16" s="1"/>
  <c r="H1538" i="16" s="1"/>
  <c r="H1540" i="16" s="1"/>
  <c r="F422" i="20"/>
  <c r="G422" i="20" s="1"/>
  <c r="H425" i="20" s="1"/>
  <c r="H427" i="20" s="1"/>
  <c r="F892" i="20"/>
  <c r="G892" i="20" s="1"/>
  <c r="H895" i="20" s="1"/>
  <c r="H897" i="20" s="1"/>
  <c r="F90" i="24"/>
  <c r="G90" i="24" s="1"/>
  <c r="H93" i="24" s="1"/>
  <c r="H95" i="24" s="1"/>
  <c r="F1250" i="16"/>
  <c r="G1250" i="16" s="1"/>
  <c r="H1253" i="16" s="1"/>
  <c r="H1255" i="16" s="1"/>
  <c r="F426" i="7"/>
  <c r="G426" i="7" s="1"/>
  <c r="H429" i="7" s="1"/>
  <c r="H431" i="7" s="1"/>
  <c r="F236" i="10"/>
  <c r="G236" i="10" s="1"/>
  <c r="H239" i="10" s="1"/>
  <c r="H241" i="10" s="1"/>
  <c r="F136" i="19"/>
  <c r="G136" i="19" s="1"/>
  <c r="H138" i="19" s="1"/>
  <c r="H140" i="19" s="1"/>
  <c r="F42" i="2"/>
  <c r="G42" i="2" s="1"/>
  <c r="H44" i="2" s="1"/>
  <c r="H46" i="2" s="1"/>
  <c r="F526" i="16"/>
  <c r="G526" i="16" s="1"/>
  <c r="H529" i="16" s="1"/>
  <c r="H531" i="16" s="1"/>
  <c r="F1107" i="16"/>
  <c r="G1107" i="16" s="1"/>
  <c r="H1110" i="16" s="1"/>
  <c r="H1112" i="16" s="1"/>
  <c r="F1690" i="16"/>
  <c r="G1690" i="16" s="1"/>
  <c r="H1693" i="16" s="1"/>
  <c r="H1695" i="16" s="1"/>
  <c r="H34" i="26" l="1"/>
  <c r="H35" i="26"/>
  <c r="H36" i="26"/>
  <c r="H37" i="26"/>
  <c r="H38" i="26"/>
  <c r="H39" i="26"/>
  <c r="H40" i="26" l="1"/>
  <c r="H6" i="27"/>
  <c r="H7" i="27" s="1"/>
  <c r="H8" i="27" l="1"/>
  <c r="H41" i="26"/>
  <c r="H43" i="26" s="1"/>
  <c r="F249" i="1" l="1"/>
  <c r="F226" i="1"/>
  <c r="D238" i="1" l="1"/>
  <c r="F235" i="1"/>
  <c r="D242" i="1"/>
  <c r="F242" i="1" s="1"/>
  <c r="I242" i="1" s="1"/>
  <c r="D239" i="1"/>
  <c r="F239" i="1" s="1"/>
  <c r="I239" i="1" s="1"/>
  <c r="D240" i="1"/>
  <c r="F240" i="1" s="1"/>
  <c r="I240" i="1" s="1"/>
  <c r="D241" i="1"/>
  <c r="F241" i="1" s="1"/>
  <c r="I241" i="1" s="1"/>
  <c r="D243" i="1"/>
  <c r="F243" i="1" s="1"/>
  <c r="I243" i="1" s="1"/>
  <c r="D244" i="1"/>
  <c r="F244" i="1" s="1"/>
  <c r="I244" i="1" s="1"/>
  <c r="F238" i="1"/>
  <c r="F245" i="1" l="1"/>
  <c r="F247" i="1" s="1"/>
  <c r="F251" i="1" s="1"/>
  <c r="I238" i="1"/>
  <c r="I245" i="1" s="1"/>
</calcChain>
</file>

<file path=xl/sharedStrings.xml><?xml version="1.0" encoding="utf-8"?>
<sst xmlns="http://schemas.openxmlformats.org/spreadsheetml/2006/main" count="9050" uniqueCount="1297">
  <si>
    <t>NOMBRE DEL PROYECTO</t>
  </si>
  <si>
    <t>CLIENTE</t>
  </si>
  <si>
    <t>ÁREA</t>
  </si>
  <si>
    <t>ELABORADO POR</t>
  </si>
  <si>
    <t>REVISADO POR</t>
  </si>
  <si>
    <t>FECHA</t>
  </si>
  <si>
    <t>PRESUPUESTO PRELIMINAR DE OBRA</t>
  </si>
  <si>
    <t>ITEM</t>
  </si>
  <si>
    <t>DESCRIPCIÓN</t>
  </si>
  <si>
    <t>UNIDAD</t>
  </si>
  <si>
    <t>CANTIDAD</t>
  </si>
  <si>
    <t>VR UNITARIO</t>
  </si>
  <si>
    <t>VR TOTAL</t>
  </si>
  <si>
    <t>% INCIDENCIA</t>
  </si>
  <si>
    <t>OBSERVACIONES</t>
  </si>
  <si>
    <t>PRELIMINARES</t>
  </si>
  <si>
    <t xml:space="preserve">DEMOLICIONES </t>
  </si>
  <si>
    <t>1.1.1</t>
  </si>
  <si>
    <t>1.1.2</t>
  </si>
  <si>
    <t>m2</t>
  </si>
  <si>
    <t>OBRAS PROVISIONALES Y PROTECCIÓN</t>
  </si>
  <si>
    <t>1.2.1</t>
  </si>
  <si>
    <t>1.2.2</t>
  </si>
  <si>
    <t>TOTAL</t>
  </si>
  <si>
    <t xml:space="preserve"> </t>
  </si>
  <si>
    <t>EXCAVACIONES Y LLENOS</t>
  </si>
  <si>
    <t>LLENOS</t>
  </si>
  <si>
    <t>2.3.1</t>
  </si>
  <si>
    <t>ml</t>
  </si>
  <si>
    <t>4.1</t>
  </si>
  <si>
    <t>ESTRUCTURAS</t>
  </si>
  <si>
    <t>4.1.1</t>
  </si>
  <si>
    <t>4.1.2</t>
  </si>
  <si>
    <t>4.1.3</t>
  </si>
  <si>
    <t>ACEROS</t>
  </si>
  <si>
    <t>ACERO DE REFUERZOS</t>
  </si>
  <si>
    <t>5.1.1</t>
  </si>
  <si>
    <t>kg</t>
  </si>
  <si>
    <t>MAMPOSTERIA</t>
  </si>
  <si>
    <t>INSTALACIONES ELÉCTRICAS</t>
  </si>
  <si>
    <t xml:space="preserve"> UNIDAD</t>
  </si>
  <si>
    <t xml:space="preserve">CANTIDAD </t>
  </si>
  <si>
    <t xml:space="preserve">PRECIO </t>
  </si>
  <si>
    <t xml:space="preserve">TOTAL </t>
  </si>
  <si>
    <t>8.1</t>
  </si>
  <si>
    <t>8.1.1</t>
  </si>
  <si>
    <t>8.1.2</t>
  </si>
  <si>
    <t>un</t>
  </si>
  <si>
    <t>INSTALACIONES HIDROSANITARIAS</t>
  </si>
  <si>
    <t>9.2</t>
  </si>
  <si>
    <t>9.2.1</t>
  </si>
  <si>
    <t>9.2.2</t>
  </si>
  <si>
    <t>9.2.3</t>
  </si>
  <si>
    <t>CUBIERTA Y CIELOS FALSOS</t>
  </si>
  <si>
    <t>CUBIERTA-TECHOS</t>
  </si>
  <si>
    <t>PISOS Y ENCHAPES</t>
  </si>
  <si>
    <t>14.1</t>
  </si>
  <si>
    <t>ENCHAPES - MURO</t>
  </si>
  <si>
    <t>14.1.1</t>
  </si>
  <si>
    <t>PINTURA Y ESTUCO</t>
  </si>
  <si>
    <t>16.1</t>
  </si>
  <si>
    <t>16.1.1</t>
  </si>
  <si>
    <t>16.2</t>
  </si>
  <si>
    <t>16.2.1</t>
  </si>
  <si>
    <t>16.2.2</t>
  </si>
  <si>
    <t>16.2.3</t>
  </si>
  <si>
    <t>16.2.4</t>
  </si>
  <si>
    <t>APARATOS SANITARIOS Y ACCESORIOS</t>
  </si>
  <si>
    <t>ACCESORIOS</t>
  </si>
  <si>
    <t>OBRAS EXTERIORES</t>
  </si>
  <si>
    <t>AMOBLAMIENTO</t>
  </si>
  <si>
    <t>21.2</t>
  </si>
  <si>
    <t>21.2.1</t>
  </si>
  <si>
    <t>CARPINTERÍA METÁLICA</t>
  </si>
  <si>
    <t>VENTANERÍA</t>
  </si>
  <si>
    <t>23.3.1</t>
  </si>
  <si>
    <t>ALCALDIA DE COPACABANA</t>
  </si>
  <si>
    <t>INDICE</t>
  </si>
  <si>
    <t>ANÁLISIS DE PRECIOS UNITARIOS</t>
  </si>
  <si>
    <t>I. EQUIPO</t>
  </si>
  <si>
    <t>Descripción</t>
  </si>
  <si>
    <t>Tipo</t>
  </si>
  <si>
    <t>Tarifa/Hora</t>
  </si>
  <si>
    <t>Rendimiento</t>
  </si>
  <si>
    <t>Valor-Unit.</t>
  </si>
  <si>
    <t>HERRAMIENTA MENOR (5%MO)</t>
  </si>
  <si>
    <t>Sub-Total</t>
  </si>
  <si>
    <t>II. MATERIALES EN OBRA</t>
  </si>
  <si>
    <t>Unidad</t>
  </si>
  <si>
    <t>Precio-Unit.</t>
  </si>
  <si>
    <t>Cantidad</t>
  </si>
  <si>
    <t>M3</t>
  </si>
  <si>
    <t>AGUA</t>
  </si>
  <si>
    <t>DESPERDICIO</t>
  </si>
  <si>
    <t>III. TRANSPORTES</t>
  </si>
  <si>
    <t>Material</t>
  </si>
  <si>
    <t>IV. MANO DE OBRA</t>
  </si>
  <si>
    <t>Trabajador</t>
  </si>
  <si>
    <t>Jornal</t>
  </si>
  <si>
    <t>Prestaciones</t>
  </si>
  <si>
    <t>Jornal Total</t>
  </si>
  <si>
    <t>OFICIAL</t>
  </si>
  <si>
    <t>Total Costo Directo</t>
  </si>
  <si>
    <t>V. COSTOS INDIRECTOS</t>
  </si>
  <si>
    <t>Porcentaje</t>
  </si>
  <si>
    <t>Valor Total</t>
  </si>
  <si>
    <t>ADMINISTRACION</t>
  </si>
  <si>
    <t xml:space="preserve">IMPREVISTOS </t>
  </si>
  <si>
    <t>UTILIDAD</t>
  </si>
  <si>
    <t>Precio unitario total aproximado al peso</t>
  </si>
  <si>
    <t>14.1.2</t>
  </si>
  <si>
    <t>14.1.3</t>
  </si>
  <si>
    <t>14.1.4</t>
  </si>
  <si>
    <t>Suministro e instalación de enchape de baldosa perlato pulido y sellado de 35x39x1 cm sobre elemento soporte en concreto para bancas, incluye pegacor con latex para exteriores y junta con polvillo color de acuerdo a la baldosa con separación de 2 mm.</t>
  </si>
  <si>
    <t>REVOQUE</t>
  </si>
  <si>
    <t>PINTURA Y REVOQUE</t>
  </si>
  <si>
    <t>PISOS</t>
  </si>
  <si>
    <t>Suministro e instalación de listones de madera inmunizada color caramelo.</t>
  </si>
  <si>
    <t>m3</t>
  </si>
  <si>
    <t>CIELO FALSO</t>
  </si>
  <si>
    <t>11.2</t>
  </si>
  <si>
    <t>11.1</t>
  </si>
  <si>
    <t>11.1.1</t>
  </si>
  <si>
    <t>11.1.2</t>
  </si>
  <si>
    <t>11.1.3</t>
  </si>
  <si>
    <t>11.1.4</t>
  </si>
  <si>
    <t>11.1.5</t>
  </si>
  <si>
    <t>11.2.1</t>
  </si>
  <si>
    <t>Suministro y aplicación de estuco sobre revoque, incluye filetes y ranuradas requeridas.</t>
  </si>
  <si>
    <t>Suministro e instalación de jardineria</t>
  </si>
  <si>
    <t>TOTAL COSTO DIRECTO</t>
  </si>
  <si>
    <t>23.1</t>
  </si>
  <si>
    <t>23.2</t>
  </si>
  <si>
    <t>PUERTAS</t>
  </si>
  <si>
    <t>MUEBLES</t>
  </si>
  <si>
    <t>Suministro e instalación de puerta batiente en acero inoxidable de 86x94 cm, para locales comerciales.</t>
  </si>
  <si>
    <t>Suministro e instalación de cortilla enrollable con fleje plano de 6 cm de alto, galvanizado C.24, riel en U, bandeja de 30x32 cm con sistema de candadis internos a ambos lados, volante en angulo de 1/2x1/8", incluye pintura de acabo final, para locales comerciales.</t>
  </si>
  <si>
    <t>23.3</t>
  </si>
  <si>
    <t>23.3.2</t>
  </si>
  <si>
    <t>GRIFERIA</t>
  </si>
  <si>
    <t>Suministro e instalación de barra en granito verde ubatuna o negro, incluye patas laterales según detalle.</t>
  </si>
  <si>
    <t>8.2</t>
  </si>
  <si>
    <t>8.2.1</t>
  </si>
  <si>
    <t>5.1</t>
  </si>
  <si>
    <t>6.1</t>
  </si>
  <si>
    <t>6.2</t>
  </si>
  <si>
    <t>2.1</t>
  </si>
  <si>
    <t>1.1</t>
  </si>
  <si>
    <t>1.2</t>
  </si>
  <si>
    <t>2.1.1</t>
  </si>
  <si>
    <t>2.1.2</t>
  </si>
  <si>
    <t>EXCAVACIONES</t>
  </si>
  <si>
    <t>2.2</t>
  </si>
  <si>
    <t>2.2.1</t>
  </si>
  <si>
    <t>CONCRETOS</t>
  </si>
  <si>
    <t>4.1.4</t>
  </si>
  <si>
    <t>4.1.5</t>
  </si>
  <si>
    <t>Suministro e instalación de revoque en mortero 1:5 rustico sobre adobe de 10 de 6 huecos, incluye filetes y ranuradas requeridas.</t>
  </si>
  <si>
    <t>Suministro e instalación de mortero 1:4 para afinado de piso en locales comerciales, e = 5 cm.</t>
  </si>
  <si>
    <t>Muros para jardineras e=10 cm en concreto a la vista pulido.</t>
  </si>
  <si>
    <t>Jardineras tipo banca en concreto e=10 cm.</t>
  </si>
  <si>
    <t>2.3</t>
  </si>
  <si>
    <t>Suministro e instalación de griferia grival para lavaplatos nepal Sencilla. Para mesones en acero inoxidable de locales comerciales.</t>
  </si>
  <si>
    <t>Suministro e instalación de mesa en concreto prefabricado, concreto a la vista pulido. Medidas 80x80x80 cm con juego de mesa pintado de ajedrez o parques.</t>
  </si>
  <si>
    <t>Suministro e instalación de bancas en concreto prefabricado, concreto a la vista pulido, colores amarillo, rojo, azul y verde. Medidas 45x45x45 cm. Incluye base en concreto de 5 cm o según ficha de fabricación, con soporte en hierro para anclaje al suelo. Escudo del municipio estampado en cara frontal, en 2 cubos de la modulación.</t>
  </si>
  <si>
    <t>ADMINISTRACIÓN (%)</t>
  </si>
  <si>
    <t>UTILIDAD (%)</t>
  </si>
  <si>
    <t>MEMORIAS DE CANTIDADES</t>
  </si>
  <si>
    <t>Baldosa perlato de 40x40 cm</t>
  </si>
  <si>
    <t xml:space="preserve">Baldosa perlato de 40x52 cm </t>
  </si>
  <si>
    <t xml:space="preserve">Baldosa perlato de 50x200 cm </t>
  </si>
  <si>
    <t xml:space="preserve">Baldosa perlato de 35x39 cm </t>
  </si>
  <si>
    <t>CANT</t>
  </si>
  <si>
    <t>UND</t>
  </si>
  <si>
    <t>4.1.6</t>
  </si>
  <si>
    <t>Elementos de soporte en concreto para bancas jardineras.</t>
  </si>
  <si>
    <t>14.2</t>
  </si>
  <si>
    <t>14.2.1</t>
  </si>
  <si>
    <t>14.2.2</t>
  </si>
  <si>
    <t>14.2.3</t>
  </si>
  <si>
    <t>14.2.4</t>
  </si>
  <si>
    <t>14.2.5</t>
  </si>
  <si>
    <t>14.2.6</t>
  </si>
  <si>
    <t>14.2.7</t>
  </si>
  <si>
    <t>Piso en royal beta color beteado de 30x120x20 cm</t>
  </si>
  <si>
    <t>Piso en royal beta color dorado de 30x120x20 cm</t>
  </si>
  <si>
    <t>Estructura metalica para locales comerciales.</t>
  </si>
  <si>
    <t>Estructura metalica para sombrillas.</t>
  </si>
  <si>
    <t>Techo en vidrio templado laminado con serigrafia en 6 mm, para cubiera de locales.</t>
  </si>
  <si>
    <t>Techo en vidrio templado laminado con serigrafia en 6 mm, para cubiera de sombrillas.</t>
  </si>
  <si>
    <t>Listones de madera inmunizada color caramelo.</t>
  </si>
  <si>
    <t>Cielo falso para locales comerciales</t>
  </si>
  <si>
    <t>Mortero de nivelación</t>
  </si>
  <si>
    <t>Ladrillo portante 306x12 capuchino PH S2 para locales</t>
  </si>
  <si>
    <t>Adobe de 10 de 6 huecos para locales</t>
  </si>
  <si>
    <t>Revoque</t>
  </si>
  <si>
    <t>Estuco</t>
  </si>
  <si>
    <t>Pintura tipo 1</t>
  </si>
  <si>
    <t>Pintura tipo koraza</t>
  </si>
  <si>
    <t>Pintura tipo trafico para zonas de bicicletas.</t>
  </si>
  <si>
    <t>Mesa de juego de ajedrez o parques.</t>
  </si>
  <si>
    <t>Suministro e instalación de bancas en concreto prefabricado, concreto a la vista pulido, cubo con acabado en dado en los cuatro laterales, los circulos que forman el numero van en profundidad no en relieve. Medidas 45x45x45 cm para juego de mesa pintado de ajedrez o parques. Incluye base en concreto de 5 cm o según ficha de fabricación, con soporte en hierro para anclaje al suelo.</t>
  </si>
  <si>
    <t>Cubo con acabado en dado.</t>
  </si>
  <si>
    <t>Bancas en concreto prefabricado colores amarillo, rojo, azul y verde.</t>
  </si>
  <si>
    <t>Banca en concreto a la vista gris pulido debajo de sombrillas</t>
  </si>
  <si>
    <t>21.1</t>
  </si>
  <si>
    <t>21.3</t>
  </si>
  <si>
    <t>21.4</t>
  </si>
  <si>
    <t>Cortina enrollable</t>
  </si>
  <si>
    <t>Puerta batiente en acero inoxidable de 86x94 cm, para locales comerciales.</t>
  </si>
  <si>
    <t>Mesón de 1.5x0.6 m en acero inoxidabe, incluye pozuelo, para locales comerciales.</t>
  </si>
  <si>
    <t>Registro de respiración en lamina de acero perforada.</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</si>
  <si>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</si>
  <si>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RENOVACIÓN DEL PARQUE PRINCIPAL DEL MUNICIPIO DE COPACABANA - ANTIQUIA</t>
  </si>
  <si>
    <t>UNIDAD: m2</t>
  </si>
  <si>
    <t>ANDAMIOS</t>
  </si>
  <si>
    <t>UN/M2</t>
  </si>
  <si>
    <t>MORTERO PEGA</t>
  </si>
  <si>
    <t>CEMENTO</t>
  </si>
  <si>
    <t>BULTO/M3</t>
  </si>
  <si>
    <t>LT/M3</t>
  </si>
  <si>
    <t>ITEM: Mortero de pega 1:4 en volumen</t>
  </si>
  <si>
    <r>
      <t>ESPECIFICACIÓN:</t>
    </r>
    <r>
      <rPr>
        <sz val="8"/>
        <rFont val="Arial"/>
        <family val="2"/>
      </rPr>
      <t xml:space="preserve"> </t>
    </r>
  </si>
  <si>
    <t>UNIDAD: m3</t>
  </si>
  <si>
    <t>CAPITULO: APU'S AUXILIARES</t>
  </si>
  <si>
    <t>Ayudante</t>
  </si>
  <si>
    <t>Oficial</t>
  </si>
  <si>
    <t>AYUDANTE</t>
  </si>
  <si>
    <t>PERSONAL</t>
  </si>
  <si>
    <t xml:space="preserve">SALARIO </t>
  </si>
  <si>
    <t>HORA/MES</t>
  </si>
  <si>
    <t>$/HORA</t>
  </si>
  <si>
    <t>$/JORNADA</t>
  </si>
  <si>
    <t>FACTOR</t>
  </si>
  <si>
    <t>M3/M2</t>
  </si>
  <si>
    <t>TRASIEGO</t>
  </si>
  <si>
    <t>BALDOSA PERLATO</t>
  </si>
  <si>
    <t>M2</t>
  </si>
  <si>
    <t>LECHADA</t>
  </si>
  <si>
    <t>CORTADORA</t>
  </si>
  <si>
    <t>PEGACOR EXTERIOR</t>
  </si>
  <si>
    <t>KG/M2</t>
  </si>
  <si>
    <t>ITEM: Mortero nivelación 5 cm</t>
  </si>
  <si>
    <t>ARENA CONCRETO</t>
  </si>
  <si>
    <t>ARENA PEGA</t>
  </si>
  <si>
    <t>MORTERO AFINADO PISO</t>
  </si>
  <si>
    <t>AYUDANTES</t>
  </si>
  <si>
    <t>BALDOSA ROYAL BETA</t>
  </si>
  <si>
    <t>MORTERO REVOQUE 1:5</t>
  </si>
  <si>
    <t>ITEM: Mortero de revoque 1:5 en volumen</t>
  </si>
  <si>
    <t>ARENA REVOQUE</t>
  </si>
  <si>
    <t>ESTUCO</t>
  </si>
  <si>
    <t>Suministro y aplicación de pintura epoxica de pintuco o similar color blanco, aplicado sobre estuco para interior de locales.</t>
  </si>
  <si>
    <t>EPOXICA</t>
  </si>
  <si>
    <t>PINTURA EPOXICA</t>
  </si>
  <si>
    <t>CUÑETE/M2</t>
  </si>
  <si>
    <t>GL/M2</t>
  </si>
  <si>
    <t>PINTURA KORAZA</t>
  </si>
  <si>
    <t>Suministro e instalación de superboard para cielo falso en placa 10 mm, incluye perfileria, masilla, cinta papel y aplicación te pintura epoxica 2 manos.</t>
  </si>
  <si>
    <t>Suministro e instalación de media caña en Ucrete.</t>
  </si>
  <si>
    <t>Suministro e instalación de piso en Ucrete. Para locales comerciales.</t>
  </si>
  <si>
    <t>KORAZA</t>
  </si>
  <si>
    <t>CONCRETADORA</t>
  </si>
  <si>
    <t>DIA</t>
  </si>
  <si>
    <t>LADRILLO PORTANTE 306X12, Incluye transp</t>
  </si>
  <si>
    <t>ADOBE 10x20x30 cm, Incluye transp</t>
  </si>
  <si>
    <t>KG</t>
  </si>
  <si>
    <t>SUBCONTRATO</t>
  </si>
  <si>
    <t>UN</t>
  </si>
  <si>
    <t>BANCA</t>
  </si>
  <si>
    <t>MESAS JUEGOS</t>
  </si>
  <si>
    <t>ML</t>
  </si>
  <si>
    <t>UNIDAD: ml</t>
  </si>
  <si>
    <t xml:space="preserve">CÁLCULO DEL AU </t>
  </si>
  <si>
    <t>No.</t>
  </si>
  <si>
    <t>DESCRIPCION</t>
  </si>
  <si>
    <t>VALOR
MENSUAL</t>
  </si>
  <si>
    <t>% PREST</t>
  </si>
  <si>
    <t>DEDICACIÓN</t>
  </si>
  <si>
    <t>MESES</t>
  </si>
  <si>
    <t>VALOR
PARCIAL</t>
  </si>
  <si>
    <t>PERSONAL PROFESIONAL Y  TÉCNICO</t>
  </si>
  <si>
    <t>Profesional Director de Obra</t>
  </si>
  <si>
    <t>Profesional Residente de obra</t>
  </si>
  <si>
    <t xml:space="preserve">Tecnólogo SISO </t>
  </si>
  <si>
    <t>PERSONAL TECNICO NO PROFESIONAL</t>
  </si>
  <si>
    <t>Encargado de Obra</t>
  </si>
  <si>
    <t>Brigadistas ambientales (Pare y siga, patieros)</t>
  </si>
  <si>
    <t>Vigilancia 24 horas</t>
  </si>
  <si>
    <t>Almacenista</t>
  </si>
  <si>
    <t>GASTOS DE OFICINA CENTRAL</t>
  </si>
  <si>
    <t>Secretaria oficina central</t>
  </si>
  <si>
    <t>Mensajero</t>
  </si>
  <si>
    <t>INSTALACIONES PROVISIONALES</t>
  </si>
  <si>
    <t>Dotacion de oficinas (muebles y enseres) durante toda la obra</t>
  </si>
  <si>
    <t>SISTEMAS DE CÓMPUTO Y COMUNICACIÓN</t>
  </si>
  <si>
    <t>Computador B (Con office) Mensual</t>
  </si>
  <si>
    <t>Impresora (una sola vez afectada unicamente por la dedicación)</t>
  </si>
  <si>
    <t>Comunicaciones (Telefono, celular, fax, Internet, etc.) Mensual</t>
  </si>
  <si>
    <t>PAPELERIA Y OTROS COSTOS</t>
  </si>
  <si>
    <t>Elaboración y entrega de planos record (unidad)</t>
  </si>
  <si>
    <t>Papeleria Mensual, fotocopias, edición informes, registros fotográficos entre otros</t>
  </si>
  <si>
    <t xml:space="preserve">GASTOS BANCARIOS </t>
  </si>
  <si>
    <t>Transacciones virtuales, chequeras, etc.</t>
  </si>
  <si>
    <t>VALLA CONTRACTUAL</t>
  </si>
  <si>
    <t>Valla (12*4). Incluye estructura metálica para fijación y soporte</t>
  </si>
  <si>
    <t>LABORATORIO</t>
  </si>
  <si>
    <t>Ensayos de laboratorio (incluye diseños de mezclas para concreto, fallo de cilindros de concreto, ensayo de proctor modificado, toma de densidades de campo, ensayos a bloques, ensayos a elementos prefabricados, ensayos de resistencia al acero de refuerzo y estructuras metálicas y todos los ensayos y diseños necesarios para la correcta ejecucion y funcionamiento de las obras.</t>
  </si>
  <si>
    <t>global</t>
  </si>
  <si>
    <t>SUBTOTAL DE COSTOS DE ADMINISTRACION</t>
  </si>
  <si>
    <t>TOTAL COSTOS DIRECTO OBRA CIVIL</t>
  </si>
  <si>
    <t>SUBTOTAL A.U</t>
  </si>
  <si>
    <t xml:space="preserve">INTERVENTORIA </t>
  </si>
  <si>
    <t>JORGE M. CARMONA F.</t>
  </si>
  <si>
    <t>SUZANA MACHADO V.</t>
  </si>
  <si>
    <t>CALCULO MANO DE OBRA</t>
  </si>
  <si>
    <t>Suministro e instalación de estructura metalica según diseño estructural acabada con pintura electrostatica, negro mate. Para locales comerciales.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</si>
  <si>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Suministro e instalación de estructura metalica según diseño estructural acabada con pintura electrostatica, en diferentes colores para sombrillas.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</si>
  <si>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LISTA MATERIALES</t>
  </si>
  <si>
    <t>HERRAMIENTA</t>
  </si>
  <si>
    <t>Andamios</t>
  </si>
  <si>
    <t>Cortadora</t>
  </si>
  <si>
    <t>Concretadora</t>
  </si>
  <si>
    <t>VALOR</t>
  </si>
  <si>
    <t>MATERIAL</t>
  </si>
  <si>
    <t>dia</t>
  </si>
  <si>
    <t>Cemento</t>
  </si>
  <si>
    <t>MATERIALES</t>
  </si>
  <si>
    <t>Arena pega</t>
  </si>
  <si>
    <t>Arena revoque</t>
  </si>
  <si>
    <t>Arena concreto</t>
  </si>
  <si>
    <t>saco</t>
  </si>
  <si>
    <t>CIZALLA</t>
  </si>
  <si>
    <t>PULIDORA</t>
  </si>
  <si>
    <t>Cizalla</t>
  </si>
  <si>
    <t>Pulidora</t>
  </si>
  <si>
    <t>ACERO DE REFUERZO FY=420 Mpa</t>
  </si>
  <si>
    <t>ALAMBRE QUEMADO</t>
  </si>
  <si>
    <t>Acero de refuerzo</t>
  </si>
  <si>
    <t>Alambre quemado</t>
  </si>
  <si>
    <t>Malla electrosoldada</t>
  </si>
  <si>
    <t>MATERIAL DE CONSUMO</t>
  </si>
  <si>
    <t>Pintura epoxica</t>
  </si>
  <si>
    <t>Pintura koraza</t>
  </si>
  <si>
    <t>gl</t>
  </si>
  <si>
    <t>cuñete</t>
  </si>
  <si>
    <t>Pintura trafico</t>
  </si>
  <si>
    <t>14.2.8</t>
  </si>
  <si>
    <t>Piso en uucrete</t>
  </si>
  <si>
    <t>Media caña en ucrete</t>
  </si>
  <si>
    <t>Varilla dilatación</t>
  </si>
  <si>
    <t>PULIDA Y SELLADA, incluye M.O</t>
  </si>
  <si>
    <t>VARILLA EN COBRE</t>
  </si>
  <si>
    <t>BALDOSA TIPO 1</t>
  </si>
  <si>
    <t>MORTERO DE PEGA</t>
  </si>
  <si>
    <t>Loseta guia tipo 1</t>
  </si>
  <si>
    <t>Suministro e instalación de baldosa tipo 1, guia de invidentes color amarillo de 20x20x3 cm. Para rectas. Instalada de acuerdo a detalles.</t>
  </si>
  <si>
    <t>Loseta guia tipo 2</t>
  </si>
  <si>
    <t>BALDOSA TIPO 2</t>
  </si>
  <si>
    <t>Suministro e instalación de varilla de dilatación en cobre para piso royal beta. En reticulas de 1.5x1.5 m.</t>
  </si>
  <si>
    <t>GRIFERIA NEPAL</t>
  </si>
  <si>
    <t>SALARIO MÍNIMO LEGAL MENSUAL</t>
  </si>
  <si>
    <t>SALARIO ANUAL</t>
  </si>
  <si>
    <t>SUBSIDIO TRANSPORTE</t>
  </si>
  <si>
    <t>SUBSIDIO TRANSPORTE  ANUAL</t>
  </si>
  <si>
    <t>PRESTACIONES</t>
  </si>
  <si>
    <t>BASE</t>
  </si>
  <si>
    <t>CESANTIAS ANUAL</t>
  </si>
  <si>
    <t>C/360</t>
  </si>
  <si>
    <t>INTERESES CESANTIAS</t>
  </si>
  <si>
    <t>CESANTIAS</t>
  </si>
  <si>
    <t>VACACIONES - 15 DIAS</t>
  </si>
  <si>
    <t>PRIMA - 30 DIAS</t>
  </si>
  <si>
    <t>OTROS COSTOS</t>
  </si>
  <si>
    <t>SEGURIDAD SOCIAL</t>
  </si>
  <si>
    <t>PENSIONES ANUAL</t>
  </si>
  <si>
    <t>MEDICINA FAMILIAR</t>
  </si>
  <si>
    <t>RIESGOS PROFESIONALES</t>
  </si>
  <si>
    <t xml:space="preserve">OTROS APORTES  </t>
  </si>
  <si>
    <t>I.C.B.F</t>
  </si>
  <si>
    <t>SENA</t>
  </si>
  <si>
    <t>SUBSIDIO FAMILIAR</t>
  </si>
  <si>
    <t>FONDO IND. DE CONSTRUC.</t>
  </si>
  <si>
    <t>DOTACIÓN (3 AL AÑO)</t>
  </si>
  <si>
    <t>CUADRO RESUMEN</t>
  </si>
  <si>
    <t>Suministro e instalación de muro en ladrillo portante 306x12 capuchino PH S2 para locales, para revocar una cara. Incluye el mortero de pega 1:4 espesor max=0.01 m y todos los demás elementos necesarios para su correcta construcción y funcionamiento.</t>
  </si>
  <si>
    <t>Suministro e instalación muro adobe de 10 de 6 huecos para locales. Incluye el mortero de pega 1:4 espesor max=0.01 m y todos los demás elementos necesarios para su correcta construcción y funcionamiento.</t>
  </si>
  <si>
    <t>Suministro e instalación de basureras dobles con techo en acero inoxidablecon un diametro 40 cm, 60 cm de alto y capacidad de 75 litros. Ancho total 95 cm y altura total de 140 cm.</t>
  </si>
  <si>
    <t>Suministro e instalación de basureras sencillas con techo en acero inoxidable con un diametro 40 cm, 60 cm de alto y capacidad de 75 litros. Altura total 110 cm.</t>
  </si>
  <si>
    <t>Suministro,Transporte e Instalacion de Luminaria ZEUS-60W,4K en poste metalico de 3,5m</t>
  </si>
  <si>
    <t>Suministro,Transporte e Instalacion de Luminaria ZEUS-60W,4K en poste metalico de 2,5m</t>
  </si>
  <si>
    <t>Suministro,Transporte e Instalacion de Luminaria BAMBU-0,6-L50-D-4K en poste metalico de 3m</t>
  </si>
  <si>
    <t>Suministro,Transporte e Instalacion de Luminaria Tipo sendera, acrilico opal LED de 35W.</t>
  </si>
  <si>
    <t>Suministro, Transporte e Instalacion de Reflector LED TIPO ESTACA LED 18W, 50000H, IP66</t>
  </si>
  <si>
    <t>Suministro, Transporte e Instalacion de Control Remoto de 8 ZONAS REFLECTOR LED ESTACA</t>
  </si>
  <si>
    <t>8.1.3</t>
  </si>
  <si>
    <t>8.1.4</t>
  </si>
  <si>
    <t>8.1.5</t>
  </si>
  <si>
    <t xml:space="preserve">Suministro, transporte e instalación de cable concentrico antifraude 2No4+1No4 AWG-XLPE, canalizado con sus accesorios de montaje, y demás elementos necesarios para su correcta instalación.  </t>
  </si>
  <si>
    <t>Suministro, Transporte e Instalación de Bajante metálico galvanizado pesado IMC de 2".</t>
  </si>
  <si>
    <t xml:space="preserve">Suministro, transporte e instalación de tubería tipo PVC de 2" de diámetro, canalizada, con sus accesorios de montaje, y demás elementos necesarios para su correcta instalación.  </t>
  </si>
  <si>
    <t>Construccion de Caja RS3-003 Norma EPM, Incluye Herraje y Obra Civil.</t>
  </si>
  <si>
    <t>Suministro, Transporte e Instalacion de Gabinete Electrico Tipo Intemperie  CASETAS, Incluye:
Breaker Industrial Totalizador 2x75A, Icc 10KA (1).
Minibreaker 2x40A, Icc 10KA (8)
MEDIDOR DE ENERGÍA  1F, 3H,  5(60)A, 240/120V, ENERGIA ACTIVA (8)</t>
  </si>
  <si>
    <t>Suministro, Transporte e Instalacion de Gabinete Electrico Tipo Intemperie  CASETAS, Incluye:
Breaker Industrial Totalizador 2x75A, Icc 10KA (1).
Minibreaker 2x40A, Icc 10KA (10)
MEDIDOR DE ENERGÍA  1F, 3H,  5(60)A, 240/120V, ENERGIA ACTIVA (10)</t>
  </si>
  <si>
    <t xml:space="preserve">Suministro, transporte e instalación de cable 2No8+1No8+1No10 AWG-THHN, canalizado con sus accesorios de montaje, y demás elementos necesarios para su correcta instalación.  </t>
  </si>
  <si>
    <t xml:space="preserve">Suministro, transporte e instalación de tubería tipo PVC de 1" de diámetro, canalizada, con sus accesorios de montaje, y demás elementos necesarios para su correcta instalación.  </t>
  </si>
  <si>
    <t xml:space="preserve">Suministro, Transporte e Instalacion Breaker enchufable 1x20A, 10kA  </t>
  </si>
  <si>
    <t>Suministro, Transporte e Instalacion Circuitos ramales en baja tensión, 120V en 1No12 (F)  + 1No12(N) + 1No12 (T) cable de cobre AWG - THWN - THHN, por tubería y/o canaleta, para salidas eléctricas.</t>
  </si>
  <si>
    <t>Suministro, Transporte e Instalacion Cajas 12x12x5 metalica de paso</t>
  </si>
  <si>
    <t>Suministro, Transporte e Instalacion Salida eléctrica para toma corriente  doble con polo a tierra monofásico 15A, 125V y según  NEMA 5-15R .Incluye toma marca Leviton o similar color blanco con  placa de nylon, encintada, ducto EMT 3/4" ,cajas metalica 12x12x5cm, conductores cobre #12 AWG AWG-THWN-THHN y demás accesorios necesarios para su correcta instalación. (salida de 3m)</t>
  </si>
  <si>
    <t>Suministro, Transporte e Instalacion Salida eléctrica para toma corriente  GFCI y según  NEMA 5-15R .Incluye toma marca Leviton o similar color blanco con  placa de nylon, encintada, ducto PVC 1/2" ,cajas PVC 4X4, conductores cobre #12 AWG AWG-THWN-THHN y demás accesorios necesarios para su correcta instalación.(salida de 3m)</t>
  </si>
  <si>
    <t>Suministro, Transporte e Instalacion Salida eléctrica para interruptor sencillo 15A, 125V. Incluye interruptor marca Leviton o similar color blanco con  placa de nylon, encintada, tuberia EMT 3/4" ,caja metalica 12x12x5cm, conductores cobre #12 AWG-THWN-THHN y demás accesorios necesarios para su correcta instalación.(salida de 3m)</t>
  </si>
  <si>
    <t>Suministro, Transporte e Instalacion Salidas eléctricas de iluminación sobrepuestas o suspendidas, 120V. Incluye: conectores, tuberia EMT 3/4", cajas metálicas, conductores 12 AWG-CU-THW, prensa estopa  y demás accesorios necesarios para su correcta instalación.(salida de 3m)</t>
  </si>
  <si>
    <t>Suministro, Transporte e Instalacion de Luminaria Hermetica 2x18W  y demás accesorios necesarios para su correcta instalación.</t>
  </si>
  <si>
    <t>GABINETES DE PROTECCION Y ACOMETIDAS</t>
  </si>
  <si>
    <t>ILUMINACION EXTERIOR</t>
  </si>
  <si>
    <t xml:space="preserve">LOCALES COMERCIALES - GABINETES DE PROTECCIÓN Y ACOMETIDAS DE BAJA TENSIÓN </t>
  </si>
  <si>
    <t>CERTIFICADOS</t>
  </si>
  <si>
    <t>CERTIFICADO RETIE DEL PROYECTO</t>
  </si>
  <si>
    <t>CERTIFICADO RETILAP DEL PROYECTO</t>
  </si>
  <si>
    <t xml:space="preserve">Suministro, transporte e instalación de cable concentrico antifraude 2No8+1No8 AWG-XLPE, canalizado con sus accesorios de montaje, y demás elementos necesarios para su correcta instalación.  </t>
  </si>
  <si>
    <t>TUBO GALVANIZADO DE 1-1/2"</t>
  </si>
  <si>
    <t>CAPACETE 1-1/2"</t>
  </si>
  <si>
    <t>CINTA BANDIT DE 1/2"</t>
  </si>
  <si>
    <t>HEBILLAS PARA CINTA BANDIT DE 1/2"</t>
  </si>
  <si>
    <t xml:space="preserve">Suministro, transporte e instalación de tablero de medida  y protección tipo intemperie Alumbrado Publico ubicado en poste Grado IP-55, incluye protección principal de 2x40A, MEDIDOR DE ENERGÍA  1F, 3H,  5(60)A, 240/120V, ENERGIA ACTIVA ,  y demás accesorios para su funcionamiento. </t>
  </si>
  <si>
    <t>MEDIDOR DE ENERGÍA  1F, 3H,  5(60)A, 240/120V, ENERGIA ACTIVA</t>
  </si>
  <si>
    <t>PROTECCION 2X40A</t>
  </si>
  <si>
    <t>Suministro, transporte e instalación de Puesta a Tierra de acuerdo con la Norma EPM RA6-010</t>
  </si>
  <si>
    <t>VARILLA COPPERWELD DE 5/8" X 2,4m</t>
  </si>
  <si>
    <t>CONECTOR COBRE</t>
  </si>
  <si>
    <t>ALAMBRE DE COBRE No 4 AWG - CUBIERTO</t>
  </si>
  <si>
    <t xml:space="preserve">Suministro, transporte e instalación de cable 2No8+1No8 AWG-THHN, canalizado con sus accesorios de montaje, y demás elementos necesarios para su correcta instalación.  </t>
  </si>
  <si>
    <t>CABLE 8 AWG-THHN</t>
  </si>
  <si>
    <t>CURVA PVC 2"</t>
  </si>
  <si>
    <t>TUBO PVC 2''</t>
  </si>
  <si>
    <t>ENTRADA PVC 2"</t>
  </si>
  <si>
    <t>HERRAJE 60X80</t>
  </si>
  <si>
    <t>OBRA CIVIL</t>
  </si>
  <si>
    <t xml:space="preserve">Suministro, transporte e instalación de tubería PVC de 1" de diámetro, canalizada, con sus accesorios de montaje, y demás elementos necesarios para su correcta instalación.  </t>
  </si>
  <si>
    <t>CURVA PVC 1"</t>
  </si>
  <si>
    <t>TUBO PVC 1''</t>
  </si>
  <si>
    <t>ENTRADA PVC 1"</t>
  </si>
  <si>
    <t>CHAZO 1/4 CON TORNILLO</t>
  </si>
  <si>
    <t>CAJA PVC CUADRADA 4X4</t>
  </si>
  <si>
    <t>CABLE ENCAUCHETADO 3X16 AWG</t>
  </si>
  <si>
    <t>CONECTOR RESORTE</t>
  </si>
  <si>
    <t>CINTA AISLANTE ORDINARIA</t>
  </si>
  <si>
    <t>CINTA AISLANTE 33</t>
  </si>
  <si>
    <t>CABLE 10 AWG-THHN</t>
  </si>
  <si>
    <t>Pernos de expansion 1/4" x 2"</t>
  </si>
  <si>
    <t>Breaker enchufable 1x20A, 10kA  Marca Siemens</t>
  </si>
  <si>
    <t>GRAPA GALVANIZ 3/4</t>
  </si>
  <si>
    <t>CURVA EMT 3/4</t>
  </si>
  <si>
    <t>TUBO EMT 3/4''</t>
  </si>
  <si>
    <t>ENTRADA EMT ¾"</t>
  </si>
  <si>
    <t>UNION EMT 3/4</t>
  </si>
  <si>
    <t>Cajas 12x12x5 de paso</t>
  </si>
  <si>
    <t>CAJA METALICA 12X12X5 troquel toma</t>
  </si>
  <si>
    <t>CABLE THHN No12</t>
  </si>
  <si>
    <t>TOMA DOBLE LEVITON</t>
  </si>
  <si>
    <t>TOMA DOBLE GFCI</t>
  </si>
  <si>
    <t>CAJA METALICA 12X12X5 troquel suiche</t>
  </si>
  <si>
    <t>INTERRUPTOR SENCILLO</t>
  </si>
  <si>
    <t>CABLE ENCAUCHETADO 3X16</t>
  </si>
  <si>
    <t>Luminaria Hermetica 2x18W</t>
  </si>
  <si>
    <t>MACHO POLO A TIERRA</t>
  </si>
  <si>
    <t>CERTIFICACIÓN RETIE</t>
  </si>
  <si>
    <t>CABLE CONCENTRICO ANTIFRAUDE 2NO8+1NO8 AWG-XLP</t>
  </si>
  <si>
    <t>Suministro, Transporte e Instalación de Bajante metálico galvanizado pesado IMC de 1-1/2".</t>
  </si>
  <si>
    <t xml:space="preserve">Suministro, transporte e instalación de Aliemntadores en Cable 3N10 AWG-THHN, canalizado con sus accesorios de montaje, y demás elementos necesarios para su correcta instalación.  </t>
  </si>
  <si>
    <t>HERRAMIENTA MENOR</t>
  </si>
  <si>
    <t>Suministro, Transporte e Instalacion de Gabinete Electrico, Incluye:</t>
  </si>
  <si>
    <t>Breaker Industrial Totalizador 2x40A, Icc 10KA (1).</t>
  </si>
  <si>
    <t>Sistema de encendido/apagado automatico de Iluminacion con temporizador, incluye contactor. (1)</t>
  </si>
  <si>
    <t>Minibreaker 2x20A, Icc 10KA (7)</t>
  </si>
  <si>
    <t>Reserva No equipadas 2x20A, Icc 10KA (4)</t>
  </si>
  <si>
    <t>CABLE 3N10 AWG-THHN</t>
  </si>
  <si>
    <t>LUMINARIA DECORATIVA DE EXTERIOR. 60W. 
4.000°K. 100-277V. IP66. IK08.</t>
  </si>
  <si>
    <t>POSTE DE HIERRO DE 3" DE 2.5 MTS. CERTIFICADO RETILAP. BASE DE ANCLAJE DE 190X190 MM. COLOR NEGRO.</t>
  </si>
  <si>
    <t>POSTE DE HIERRO DE 3" DE 3.5 MTS. CERTIFICADO RETILAP. BASE DE ANCLAJE DE 190X190 MM. COLOR NEGRO.</t>
  </si>
  <si>
    <t>POSTE DE EXTERIOR CON ACRILICO OPAL. 3.0 MTS. LED 50W. 120-277V. DIM. 0-10V. 4.000°K. COLOR NEGRO.</t>
  </si>
  <si>
    <t>ANCLAJE PARA POSTE. TORNILLOS DE 1/2". 26X26 CMS.</t>
  </si>
  <si>
    <t>REFLECTOR LED TIPO ESTACA LED 18W 50.000H 25° IP66</t>
  </si>
  <si>
    <t>Suministro, transporte e instalación de materiales para salida eléctrica Normal de Iluminacion 220Vac,incluye cable encauchetado 3x16 PVC/NY 600V 105 °C; Conectores de Resorte y demás accesorios para su correcta instalación y funcionamiento. (3.5 m)</t>
  </si>
  <si>
    <t>Suministro, transporte e instalación de materiales para salida eléctrica Normal de Iluminacion 220Vac,incluye cable encauchetado 3x16 PVC/NY 600V 105 °C; Conectores de Resorte y demás accesorios para su correcta instalación y funcionamiento. (2.5 m)</t>
  </si>
  <si>
    <t>Suministro, transporte e instalación de materiales para salida eléctrica Normal de Iluminacion 220Vac,incluye cable encauchetado 3x16 PVC/NY 600V 105 °C; Conectores de Resorte y demás accesorios para su correcta instalación y funcionamiento. (3 m)</t>
  </si>
  <si>
    <t>Suministro, transporte e instalación de materiales para salida eléctrica Normal de Iluminacion 220Vac,incluye cable encauchetado 3x16 PVC/NY 600V 105 °C; Conectores de Resorte y demás accesorios para su correcta instalación y funcionamiento. (1 m)</t>
  </si>
  <si>
    <t>CONTROL REMOTO DE 8 ZONAS REFLECTOR LED ESTACA</t>
  </si>
  <si>
    <t>CABLE CONCENTRICO ANTIFRAUDE 2No4+1No4 AWG-XLPE</t>
  </si>
  <si>
    <t>Gabinete Electrico Tipo Intemperie  CASETAS, Incluye:</t>
  </si>
  <si>
    <t>Breaker Industrial Totalizador 2x75A, Icc 10KA (1).</t>
  </si>
  <si>
    <t>Minibreaker 2x40A, Icc 10KA (8)</t>
  </si>
  <si>
    <t>MEDIDOR DE ENERGÍA  1F, 3H,  5(60)A, 240/120V, ENERGIA ACTIVA (8)</t>
  </si>
  <si>
    <t>Tablero TMB  4 ctos (TR) 2F, 4H, 208V de sobreponer, con barras de neutro y tierra independientes, con puerta y chapa.. Barras internas de cobre min 100A, 208V, Icc: 10 kA. + Neutro al 100% + Tierra según tabla 250-94 NTC 2050</t>
  </si>
  <si>
    <t>Cable de cobre No12 AWG - THWN - THHN</t>
  </si>
  <si>
    <t>PLANOS</t>
  </si>
  <si>
    <t>Triturado</t>
  </si>
  <si>
    <t>Pilotes d=30 cm, L=4 m.</t>
  </si>
  <si>
    <t>Vigas de fundación 35x35 cm.</t>
  </si>
  <si>
    <t>Grouting (concreto liquido) de 12.5 Mpa</t>
  </si>
  <si>
    <t>ACERO DE REFUERZO</t>
  </si>
  <si>
    <t>5/8</t>
  </si>
  <si>
    <t>3/8</t>
  </si>
  <si>
    <t>1/4</t>
  </si>
  <si>
    <t>4 mm</t>
  </si>
  <si>
    <t>VIGAS DE FUNDACIÓN</t>
  </si>
  <si>
    <t>PESO</t>
  </si>
  <si>
    <t>LONG</t>
  </si>
  <si>
    <t>VF1-2 (Son 4)</t>
  </si>
  <si>
    <t>VFA-H (Son 4)</t>
  </si>
  <si>
    <t>VFB-C-D-E-F-G (Son 12)</t>
  </si>
  <si>
    <t>VF1'-2' (Son 2)</t>
  </si>
  <si>
    <t>VFA'-L' (Son 2)</t>
  </si>
  <si>
    <t>VFB'-C'-D'-E'-F'-G'-H'-I'-J'-K' (Son 10)</t>
  </si>
  <si>
    <t>PILOTES</t>
  </si>
  <si>
    <t>Son 56</t>
  </si>
  <si>
    <t>1/2</t>
  </si>
  <si>
    <t>VIGAS DINTEL</t>
  </si>
  <si>
    <t>DINTEL</t>
  </si>
  <si>
    <t>MUROS</t>
  </si>
  <si>
    <t>DOVELAS</t>
  </si>
  <si>
    <t>ANCHO</t>
  </si>
  <si>
    <t>ALTO</t>
  </si>
  <si>
    <t>VOL</t>
  </si>
  <si>
    <t>4</t>
  </si>
  <si>
    <t>56</t>
  </si>
  <si>
    <t>LONGITUD</t>
  </si>
  <si>
    <t>Vigas dintel 12x20 cm.</t>
  </si>
  <si>
    <t>ITEM: Concreto 21 Mpa</t>
  </si>
  <si>
    <t>TRITURADO</t>
  </si>
  <si>
    <t>CONCRETO 21 Mpa</t>
  </si>
  <si>
    <t>VIBRADOR</t>
  </si>
  <si>
    <t>Vibrador</t>
  </si>
  <si>
    <t>M3/ML</t>
  </si>
  <si>
    <t>FORMALETA</t>
  </si>
  <si>
    <t>Placa concreto de 28 Mpa MR 41 con e=23 cm</t>
  </si>
  <si>
    <t>Suministro, transporte y colocación de base granular especificación Invias (según diseño). Espesor 15cm.</t>
  </si>
  <si>
    <t>5.1.2</t>
  </si>
  <si>
    <t xml:space="preserve">VARILLON 4 X 4 X 3.0 MTRS </t>
  </si>
  <si>
    <t xml:space="preserve">TORNILLO PUNTA DE BROCA 2 1/2 " </t>
  </si>
  <si>
    <t>BROCA 1/8" (INICIO)</t>
  </si>
  <si>
    <t>ESTRUCTURA METALICA, Inc pintura</t>
  </si>
  <si>
    <t>AGUAS LLUVIAS</t>
  </si>
  <si>
    <t>TUBERIA NOVAFORT 10"</t>
  </si>
  <si>
    <t>UN/ML</t>
  </si>
  <si>
    <t>TUBERIA</t>
  </si>
  <si>
    <t>CAPITULO: INSTALACIONES HIDROSANITARIAS</t>
  </si>
  <si>
    <t>TUBERIA NOVAFORT 8"</t>
  </si>
  <si>
    <t>TUBERIA NOVAFORT 6"</t>
  </si>
  <si>
    <t>9.2.4</t>
  </si>
  <si>
    <t>9.2.5</t>
  </si>
  <si>
    <t>9.2.6</t>
  </si>
  <si>
    <t>9.2.7</t>
  </si>
  <si>
    <t>Tuberia novafort 10"</t>
  </si>
  <si>
    <t>Tuberia novafort 8"</t>
  </si>
  <si>
    <t>Tuberia novafort 6"</t>
  </si>
  <si>
    <t>Tuberia novafort 4"</t>
  </si>
  <si>
    <t>Base granular</t>
  </si>
  <si>
    <t>CAPITULO: PROVISIONALES</t>
  </si>
  <si>
    <t>ITEM: Cerramiento provisional</t>
  </si>
  <si>
    <t>POSTE DE MADERA</t>
  </si>
  <si>
    <t>PUNTILLAS</t>
  </si>
  <si>
    <t>PINTURA</t>
  </si>
  <si>
    <t xml:space="preserve">ESTACAS </t>
  </si>
  <si>
    <t>ESTACIÓN TOTAL</t>
  </si>
  <si>
    <t>GL</t>
  </si>
  <si>
    <t>Suministro, transporte e instalación de pasadores en acero liso de 1 1/4" separados 30 cm, L=45 cm FY=280 Mpa</t>
  </si>
  <si>
    <t>Suministro, transporte e instalación de anclajes en acero corrugado de 3/8" separados 80 cm, L=65 cm FY=280 Mpa</t>
  </si>
  <si>
    <t>Baldosa tipo 1, guia de invidentes color amarillo de 20x20x3 cm.</t>
  </si>
  <si>
    <t xml:space="preserve">Baldosa tipo 2, guia de invidentes color amarillo de 40x40x3 cm. </t>
  </si>
  <si>
    <t xml:space="preserve">CEMENTO </t>
  </si>
  <si>
    <t>MUROS JARDINERAS</t>
  </si>
  <si>
    <t>Pilote, viga y vastago</t>
  </si>
  <si>
    <t>Excavación de pilotes L=4 m, para locales comerciales.</t>
  </si>
  <si>
    <t>Excavación de pilotes L=2 m, para jardineras.</t>
  </si>
  <si>
    <t>IMPERMEABILIZACIÓN</t>
  </si>
  <si>
    <t>ESPECIFICACIÓN: 1.2.1</t>
  </si>
  <si>
    <r>
      <t>ESPECIFICACIÓN:</t>
    </r>
    <r>
      <rPr>
        <sz val="8"/>
        <rFont val="Arial"/>
        <family val="2"/>
      </rPr>
      <t xml:space="preserve"> </t>
    </r>
    <r>
      <rPr>
        <b/>
        <sz val="8"/>
        <rFont val="Arial"/>
        <family val="2"/>
      </rPr>
      <t>1.2.2</t>
    </r>
  </si>
  <si>
    <t>CAPITULO: IMPERMEABILIZACIÓN</t>
  </si>
  <si>
    <t>ITEM: Impermeabilización jardinera</t>
  </si>
  <si>
    <t>ESPECIFICACIÓN: 2.3.1</t>
  </si>
  <si>
    <t>M2/ML</t>
  </si>
  <si>
    <t>Muros para jardineras e=10 cm en concreto a la vista pulido, incluye pilote, viga y vastago</t>
  </si>
  <si>
    <t>GRIS</t>
  </si>
  <si>
    <t>NEGRA</t>
  </si>
  <si>
    <t>MARRON</t>
  </si>
  <si>
    <t>OCRE</t>
  </si>
  <si>
    <t>VERDE</t>
  </si>
  <si>
    <t>AMARILLO</t>
  </si>
  <si>
    <t>TUBERIA SANITARIA 4"</t>
  </si>
  <si>
    <t>ITEM: Localización, trazado y replanteo</t>
  </si>
  <si>
    <t>BANCAS</t>
  </si>
  <si>
    <t>Suministro e instalación de baldosa tipo 2, guia de invidentes color amarillo de 20x20x3 cm. Para rampas, desniveles y giros. Instalada de acuerdo a detalles.</t>
  </si>
  <si>
    <t>2.1.3</t>
  </si>
  <si>
    <t>Perfilación y compactación de la subrasante.</t>
  </si>
  <si>
    <t>2.1.4</t>
  </si>
  <si>
    <t>Demolición, cargue y disposición final de concreto existente.</t>
  </si>
  <si>
    <t>Demolición, cargue y disposición final de carpeta asfaltica e=12 cm.</t>
  </si>
  <si>
    <t>BASURERA</t>
  </si>
  <si>
    <t>CORTINA ENROLLABLE, INC M.O</t>
  </si>
  <si>
    <t>CORTINA ENROLLABLE</t>
  </si>
  <si>
    <t>PUERTA BATIENTE</t>
  </si>
  <si>
    <t>MESON</t>
  </si>
  <si>
    <t>REGISTRO</t>
  </si>
  <si>
    <t>BARRA EN GRANITO</t>
  </si>
  <si>
    <t>GRAMA</t>
  </si>
  <si>
    <t>ABONO</t>
  </si>
  <si>
    <t>PLACA 10 mm</t>
  </si>
  <si>
    <t>PERFILES</t>
  </si>
  <si>
    <t>CINTA</t>
  </si>
  <si>
    <t>MASILLA</t>
  </si>
  <si>
    <t>VARILLA LISA</t>
  </si>
  <si>
    <t>VARILLA 3/8"</t>
  </si>
  <si>
    <t>BOMBA</t>
  </si>
  <si>
    <t>ARENA DE CONCRETO</t>
  </si>
  <si>
    <t>BORDILLOS</t>
  </si>
  <si>
    <t>PEGA</t>
  </si>
  <si>
    <t>ML/M3</t>
  </si>
  <si>
    <t>ESPECIFICACIÓN: 2.1.1</t>
  </si>
  <si>
    <t>CAPITULO: EXCAVACIONES</t>
  </si>
  <si>
    <t>ITEM: Excavación pilotes L=4 m</t>
  </si>
  <si>
    <t>ITEM: Excavación pilotes L=2 m</t>
  </si>
  <si>
    <t>ESPECIFICACIÓN: 2.1.2</t>
  </si>
  <si>
    <t>ITEM: Excavación, cargue y descargue</t>
  </si>
  <si>
    <t>RETROEXCAVADORA</t>
  </si>
  <si>
    <t>HR</t>
  </si>
  <si>
    <t>Vol. Peso ó Cant.</t>
  </si>
  <si>
    <t>Distancia</t>
  </si>
  <si>
    <t>M3-Km</t>
  </si>
  <si>
    <t>Tarifa</t>
  </si>
  <si>
    <t>MATERIAL DE EXCAVACION</t>
  </si>
  <si>
    <t>ESPECIFICACIÓN: 2.1.4</t>
  </si>
  <si>
    <t>ESPECIFICACIÓN: 2.1.3</t>
  </si>
  <si>
    <t>ITEM: Perfilación y compactación de la subrasante.</t>
  </si>
  <si>
    <t xml:space="preserve">VIBROCOMPACTADOR </t>
  </si>
  <si>
    <t>LT</t>
  </si>
  <si>
    <t>ESPECIFICACIÓN: 1.1.1</t>
  </si>
  <si>
    <r>
      <t>ESPECIFICACIÓN:</t>
    </r>
    <r>
      <rPr>
        <sz val="8"/>
        <rFont val="Arial"/>
        <family val="2"/>
      </rPr>
      <t xml:space="preserve"> </t>
    </r>
    <r>
      <rPr>
        <b/>
        <sz val="8"/>
        <rFont val="Arial"/>
        <family val="2"/>
      </rPr>
      <t>1.1.2</t>
    </r>
  </si>
  <si>
    <t>ITEM: Demolición, cargue y disposición final de carpeta asfaltica e=12 cm.</t>
  </si>
  <si>
    <t>ITEM: Demolición, cargue y disposición final de concreto existente.</t>
  </si>
  <si>
    <t>CAPITULO: LLENOS</t>
  </si>
  <si>
    <t>ITEM: Base granular</t>
  </si>
  <si>
    <t>ESPECIFICACIÓN: 2.2.1</t>
  </si>
  <si>
    <t>BASE GRANULAR (H=0.30 MT)</t>
  </si>
  <si>
    <t>CARROTANQUE DE AGUA 10000 LITROS</t>
  </si>
  <si>
    <t>MOTONIVELADORA CAT-120 O EQUIVALENTE</t>
  </si>
  <si>
    <t>29 DE MAYO 2023</t>
  </si>
  <si>
    <t>VALOR TOTAL CONSTRUCCION (COSTOS DIRECTOS + AU)</t>
  </si>
  <si>
    <t>Prohospital</t>
  </si>
  <si>
    <t>Adulto mayor</t>
  </si>
  <si>
    <t>Universidad de Antioquia</t>
  </si>
  <si>
    <t>Suministro e instalación de cerramiento provisional en polisombra con estructura en madera, cada 1.5 m.</t>
  </si>
  <si>
    <t>Construcción de Caja RS3-001 Norma EPM, Incluye Herraje y Obra Civil.</t>
  </si>
  <si>
    <t>Suministro, Transporte e Instalacion Tubería metálica tipo EMT de 3/4" para Alimentadores</t>
  </si>
  <si>
    <t>Suministro, Transporte e Instalacion Tablero TMB  4 ctos (TR) 2F, 4H, 208V de sobreponer, con barras de neutro y tierra independientes, con puerta y chapa.
Barras internas de cobre min 100A, 208V, Icc: 10 kA. + Neutro al 100% + Tierra según tabla 250-94 NTC 2050</t>
  </si>
  <si>
    <t>Suministro e instalación de techo en vidrio templado laminado en 6 mm, para cubierta de locales.</t>
  </si>
  <si>
    <t>Suministro e instalación de techo en vidrio templado laminado en 6 mm, para cubierta de sombrillas.</t>
  </si>
  <si>
    <t>Suministro y aplicación de pintura tipo koraza de pintuco o similar para fachada de locales comerciales de colores de acuerdo al modelo, aplicado sobre revoque rustico.</t>
  </si>
  <si>
    <t>Suministro e instalación de registro de respiración en lámina de acero perforada sobre ladrillo portante para locales comerciales.</t>
  </si>
  <si>
    <t>Suministro e instalación de mesón de 1.5x0.6 m en acero inoxidable, incluye pozuelo, para locales comerciales.</t>
  </si>
  <si>
    <t>ESTRUCTURAS DE CONCRETO</t>
  </si>
  <si>
    <t>Impuesto de contribución especial (5%)</t>
  </si>
  <si>
    <t>COMPRESOR NEUMÁTICO CON MARTILLO DEMOLEDOR O PERFORADOR EN SUPERFICIE, PUNTA, COMBUSTIBLE Y OPERADOR.</t>
  </si>
  <si>
    <t>CORTE DE PISO Y/O PAVIMENTO HASTA 6 CM DE PROFUNDIDAD</t>
  </si>
  <si>
    <t>CARGUE, TRANSP. Y BOTADA CON PALEROS</t>
  </si>
  <si>
    <t>TRANSPORTE EN VOLQUETA</t>
  </si>
  <si>
    <t>TRANSPORTE EN CAMA BAJA MAQUINARIA</t>
  </si>
  <si>
    <t>VIAJE</t>
  </si>
  <si>
    <t xml:space="preserve">FORMALETA SUPER T  </t>
  </si>
  <si>
    <t>HOJA</t>
  </si>
  <si>
    <t>Clavo común de 1". Caja x 500gr.</t>
  </si>
  <si>
    <t>Libra</t>
  </si>
  <si>
    <t>TRANSPORTE EXTERNO DE INSUMOS</t>
  </si>
  <si>
    <t>VAIEJ</t>
  </si>
  <si>
    <t>PULIDORA  MANUAL ELECTRICA 7" Y 9”</t>
  </si>
  <si>
    <t>DISCO ADIAMANTADO 7 PULG.</t>
  </si>
  <si>
    <t>Extensión encauchetada trifásica  4 x 8 vr/m</t>
  </si>
  <si>
    <t>CINTA PARA MARCACIÓN</t>
  </si>
  <si>
    <t>ESCALERA FIBRA DE VIDRIO (TRABAJO PROFESIONAL ELECTRICO)</t>
  </si>
  <si>
    <t>DÍA</t>
  </si>
  <si>
    <t>UNIONES</t>
  </si>
  <si>
    <t>CUERPO DE ANDAMIO MULTIDIRECCIONAL</t>
  </si>
  <si>
    <r>
      <t>Suministro, transporte e instalación de tubería P.V.C-Sanitaria d=4" o similar.</t>
    </r>
    <r>
      <rPr>
        <sz val="10"/>
        <color rgb="FF0070C0"/>
        <rFont val="Arial Narrow"/>
        <family val="2"/>
      </rPr>
      <t>(Incluye los accesorios necesarios para su funcionamiento, Según norma técnica ASTM 2324)</t>
    </r>
  </si>
  <si>
    <t>CODO 90° 4"</t>
  </si>
  <si>
    <t>YEES SANITARIAS 4"</t>
  </si>
  <si>
    <t>TEES SANITARIAS 4"</t>
  </si>
  <si>
    <t>ADITIVOS PARA MORTEROS Sika®-1 Impermeabilizante integral para morteros y concretos 1 kg "1.5 Kg de Sika®-1 para un bulto de cemento de 50 Kg. 0.5 kg/m2"</t>
  </si>
  <si>
    <t>CUÑETE</t>
  </si>
  <si>
    <t>Disolvente Poliuretano 3 Litros Ref:Algreco</t>
  </si>
  <si>
    <t>Ingeniero Ambiental</t>
  </si>
  <si>
    <t>Social</t>
  </si>
  <si>
    <t>TRANPORTE INTERNO</t>
  </si>
  <si>
    <t>SI</t>
  </si>
  <si>
    <t>TALADRO ROTOPERCUTOR</t>
  </si>
  <si>
    <t>https://tienex.co/catalogo/reciclaje/puntos-ecologicos/caneca-acero-inoxidable-75lts-barcelona-m121-con-techo/</t>
  </si>
  <si>
    <t>https://tienex.co/catalogo/reciclaje/puntos-ecologicos/barcelona-2-puestos/</t>
  </si>
  <si>
    <t>CURADOR Separol® Desmoldante premium que deja el concreto con un excelente acabado. x 15kg</t>
  </si>
  <si>
    <t>LARGUERO 2*4</t>
  </si>
  <si>
    <t>Clavo común 3 - C.C. - Corsan x libra (50)</t>
  </si>
  <si>
    <t>LB</t>
  </si>
  <si>
    <t>PEGACOR FLEX EXTERIOR</t>
  </si>
  <si>
    <t>BANCA HECHA EN OBRA</t>
  </si>
  <si>
    <t>Taladro angular manual hasta 1/2" a 110 vol�os monofásico</t>
  </si>
  <si>
    <t>Suministro, transporte y colocación de concreto 21 MPa vaciado en obra: Incluye: todos los equipos necesarios para disponer el concreto en los diferentes niveles de la obra, preparación, ensayos, transporte externo, obra falsa, colocación, protección y curado. No incluye refuerzo.</t>
  </si>
  <si>
    <t>CONTRATANTE:</t>
  </si>
  <si>
    <t>OBJETO:</t>
  </si>
  <si>
    <t>DURACIÓN (MESES):</t>
  </si>
  <si>
    <t>INICIO:</t>
  </si>
  <si>
    <t>FIN:</t>
  </si>
  <si>
    <t>FUNCIÓN EN EL PROYECTO</t>
  </si>
  <si>
    <t>TITULO (Formación)</t>
  </si>
  <si>
    <t>DEDICACIÓN (MESES)</t>
  </si>
  <si>
    <t>% DEDICACIÓN</t>
  </si>
  <si>
    <t>Vr. Unitario</t>
  </si>
  <si>
    <t>Vr. TOTAL</t>
  </si>
  <si>
    <t>COMPONENTE PERSONAL</t>
  </si>
  <si>
    <t>Director de obra</t>
  </si>
  <si>
    <t>Ingeniero civil , arquitecto o arq.constructor</t>
  </si>
  <si>
    <t>Mes</t>
  </si>
  <si>
    <t>Residente de obra</t>
  </si>
  <si>
    <t>Profesional o Tecnólogo SISO</t>
  </si>
  <si>
    <t>Tecnologo en Seguridad y salud en el trabajo- SGSST</t>
  </si>
  <si>
    <t>Auxiliar de obra</t>
  </si>
  <si>
    <t>Tecnologo en obras civiles</t>
  </si>
  <si>
    <t>SUBTOTAL COMPONENTE PERSONAL</t>
  </si>
  <si>
    <t>% FACTOR MULTIPLICADOR</t>
  </si>
  <si>
    <t>VALOR FACTOR MULTIPLICADOR</t>
  </si>
  <si>
    <t>COMPONENTE APOYO LOGISTICO y TECNICO</t>
  </si>
  <si>
    <t>Papelería, tóner, impresiones, copias y ploteos</t>
  </si>
  <si>
    <t>Arriendo de oficina</t>
  </si>
  <si>
    <t>Servicios publicos</t>
  </si>
  <si>
    <t>SUBTOTAL APOYO LOGISTICOS</t>
  </si>
  <si>
    <t>TOTAL PROYECTO</t>
  </si>
  <si>
    <t>SUBTOTAL INTERVENTORIA</t>
  </si>
  <si>
    <t>FACTOR MULTIPLICADOR</t>
  </si>
  <si>
    <t>DURACION DEL PROYECTO</t>
  </si>
  <si>
    <t>IVA INTERVENTORIA</t>
  </si>
  <si>
    <t>TOTAL INTERVENTORIA</t>
  </si>
  <si>
    <t xml:space="preserve">FACTOR MULTIPLICADOR </t>
  </si>
  <si>
    <t>PORCENTAJE PARCIAL</t>
  </si>
  <si>
    <t>A</t>
  </si>
  <si>
    <t>SALARIO BASICO</t>
  </si>
  <si>
    <t>Nomina Total Mensual</t>
  </si>
  <si>
    <t>B</t>
  </si>
  <si>
    <t>PRESTACIONES SOCIALES</t>
  </si>
  <si>
    <t>Cesantías</t>
  </si>
  <si>
    <t>Intereses sobre cesantías</t>
  </si>
  <si>
    <t xml:space="preserve">Primas </t>
  </si>
  <si>
    <t>Vacaciones</t>
  </si>
  <si>
    <t>Aportes a Salud</t>
  </si>
  <si>
    <t>Aportes a Pensión</t>
  </si>
  <si>
    <t>ARP</t>
  </si>
  <si>
    <t>OTROS</t>
  </si>
  <si>
    <t>Sena</t>
  </si>
  <si>
    <t>ICBF</t>
  </si>
  <si>
    <t>Caja de compensación familiar</t>
  </si>
  <si>
    <t>C</t>
  </si>
  <si>
    <t>D</t>
  </si>
  <si>
    <t>HONORARIOS UTILIDADES ( )</t>
  </si>
  <si>
    <t>Honorarios utilidades del Consultor</t>
  </si>
  <si>
    <t>FACTOR MULTIPLICADOR: TOTAL A+B+C+D</t>
  </si>
  <si>
    <t>Global</t>
  </si>
  <si>
    <t>Secretaria de obra</t>
  </si>
  <si>
    <t>1.2.3</t>
  </si>
  <si>
    <t>Servicios Públicos oficina</t>
  </si>
  <si>
    <t>Estampilla para la Justicia Familiar</t>
  </si>
  <si>
    <t>Tasa Pro Deporte</t>
  </si>
  <si>
    <t>Profesional Social</t>
  </si>
  <si>
    <t>Dotación y examenes medicos</t>
  </si>
  <si>
    <t>PÓLIZAS DEL CONTRATO (REEMBOLSABLE)</t>
  </si>
  <si>
    <t>TELA SARAM</t>
  </si>
  <si>
    <t>ITEM: Concreto 28 Mpa</t>
  </si>
  <si>
    <t>Localización, trazado y replanteo del proyecto. Se utilizará equipo de precisión, personal experto. Se hará con la frecuencia que lo indique la interventoría. Incluye demarcación con pintura, línea de trazado, corte de piso, libretas, planos.</t>
  </si>
  <si>
    <t>Excavación mecánica de material heterogéneo de 0.0 a 2.0 m, incluye el cargue, botada del material producto de la excavación en los sitios autorizados o donde lo indique la interventoría y su medida será en el sitio.</t>
  </si>
  <si>
    <t>FORMALETA. INCLUYE: LAMINA SUPER T, LARGUERO Y CLAVOS</t>
  </si>
  <si>
    <t>galon</t>
  </si>
  <si>
    <t>PINTURA IMPRANOL CARAMELO 'GALON</t>
  </si>
  <si>
    <t>según cotizacion</t>
  </si>
  <si>
    <t>PULIDORA 9"</t>
  </si>
  <si>
    <t>Suministro e instalación de bancas en concreto prefabricada, sencilla angular de 60x40x6 cm de colores gris, negro, ocre, marron, amarillo y verde. Para sombrillas. Nota: Cada unidad de sillas, contiene 6 sillas de los colores especificados.</t>
  </si>
  <si>
    <t>GRASA</t>
  </si>
  <si>
    <t>Implementación Seguridad y Salud en el trabajo. Ver anexo</t>
  </si>
  <si>
    <t>PMA (Incluye gestión social y ambiental). Ver anexo</t>
  </si>
  <si>
    <t>Implementación Plan de manejo de Tránsito. Ver anexo</t>
  </si>
  <si>
    <t>HIDROSELLO NOVAFORT 10"</t>
  </si>
  <si>
    <t>HIDROSELLO NOVAFORT 8"</t>
  </si>
  <si>
    <t>HIDROSELLO NOVAFORT 6"</t>
  </si>
  <si>
    <t>LIMPIADOR REMOVEDOR</t>
  </si>
  <si>
    <t>SOLDADURA LIQUIDA PVC</t>
  </si>
  <si>
    <t>Kg</t>
  </si>
  <si>
    <t>1/4 GAL.</t>
  </si>
  <si>
    <t>ESTOPA DE LIMPIEZA</t>
  </si>
  <si>
    <t>LUBRICANTE TARRO</t>
  </si>
  <si>
    <t>500 Grms.</t>
  </si>
  <si>
    <t>Suministro, transporte e instalación de Geodren planar con tubería circular 100 mm, profundidad 0,5 m. Incluye el transporte externo e interno de los materiales.</t>
  </si>
  <si>
    <t>GEODREN 0,50m</t>
  </si>
  <si>
    <t>TUBERÍA DE DRENAJE 100mm</t>
  </si>
  <si>
    <t>VIBRADOR PARA CONCRETO</t>
  </si>
  <si>
    <t>CONCRETO 28 MPA</t>
  </si>
  <si>
    <t>HERRAJE COMPLETO PARA CAJA 0.70 x 0.70 M</t>
  </si>
  <si>
    <t>PLASTOCRETE DM</t>
  </si>
  <si>
    <t>FIBRA NIKKON - SIKAFIBER AD</t>
  </si>
  <si>
    <t>MALLA ELECTROSOLDAD D 188</t>
  </si>
  <si>
    <t>FORMALETA PARA CONCRETO A LA VISTA</t>
  </si>
  <si>
    <t>LARGUERO DE MADERA 2"X4"</t>
  </si>
  <si>
    <t>TPTE DE MAT Y EQUIPO</t>
  </si>
  <si>
    <t>Prestaciones (%)</t>
  </si>
  <si>
    <t>Jornal total</t>
  </si>
  <si>
    <t>Suministro, transporte y colocación de tapa para MH prefabricado con un diámetro de 1,20 m. según especificaciones técnicas de EEPP de Medellín. Incluye tapa prefabricada en concreto, mortero de pega 1:4, transportes externo e interno de los materiales y todos los demás elementos necesarios para su correcta instalación y funcionamiento.</t>
  </si>
  <si>
    <t>Suministro, transporte y colocación de cuello para MH prefabricado con un diámetro de 1,20 m. según especificaciones técnicas de EEPP de Medellín. Incluye cuello prefabricado, mortero de pega 1:4, transportes externo e interno de los materiales y todos los demás elementos necesarios para su correcta instalación y funcionamiento.</t>
  </si>
  <si>
    <t>Suministro, transporte y colocación de cono para MH prefabricado con un diámetro de 1,20 m. según especificaciones técnicas de EEPP de Medellín. Incluye cono excéntrico, mortero de pega 1:4, transportes externo e interno de los materiales y todos los demás elementos necesarios para su correcta instalación y funcionamiento.</t>
  </si>
  <si>
    <t>Suministro, transporte e instalación de cilindro prefabricado para MH con un diámetro de 1,20 m y altura 1.00 m. Incluye mortero para ajuste y pega del cilindro y resane de las perforaciones, Según especificaciones técnicas de EEPP de Medellín y de diseño,  Incluye suministro, transporte externo e instalación de los materiales, descargue y transportes internos con equipo retroexcavadora hasta sitio de acopio y de este al sitio de instalación y todo lo necesario para su correcta instalación y funcionamiento..</t>
  </si>
  <si>
    <t>Construcción de mesa con diámetro de 1,60m y 0,20m de espesor y cañuela con un diámetro de 1,20m y 0,20m de espesor para cámara de inspección de diámetro de 1,20 m, la pendiente transversal de la cañuela será el 15% y debe ser en concreto de 28Mpa esmaltada con cemento, según especificaciones técnicas de EEPP de Medellín. Incluye el suministro, transportes externo e interno de los materiales y todo lo necesario para su correcta construcción. No incluye acero de refuerzo.</t>
  </si>
  <si>
    <t>Perforación de cámara de inspección existente, emboquillada para nueva tubería y resane de 250 mm de diámetro. La reparación será realizada con un mortero de Alta Resistencia Tipo Sikatop 122 o equivalente.</t>
  </si>
  <si>
    <t>Suministro, transporte y colocación de gancho galvanizado para cámara de inspección de cilindro prefabricado, según especificaciones técnicas de EEPP de Medellín. Incluye anclaje con epóxico y todo lo necesario para su correcta instalación.</t>
  </si>
  <si>
    <t>CODO 45° 4"</t>
  </si>
  <si>
    <t>REJILLA TIPO CUPULA</t>
  </si>
  <si>
    <t>TALADRO ROTOPERCUTOR SDS PLUS - BROCA HASTA 1”</t>
  </si>
  <si>
    <t>Doble Tragante en cañuela d=4". Incluye: Accesorios, un recorrido máximo de tubería no mayor a 2 m, las perforaciones de empalme a la cajas de inspección y las rejillas tipo cúpula d=4".</t>
  </si>
  <si>
    <t>Construcción de caja de inspección y/o empalme de 60x60cm y altura hasta 100 cm. medidas internas, en concreto de 28 Mpa con muros y losa de fondo de 10cm de espesor.  Incluye suministro, transportes externo e interno y la instalación de los materiales, tapa de 70x70cm, herraje, formaleta, vibrado, cañuela para tubería, malla electrosoldada D188 y todos los elementos necesarios para su correcta construcción y funcionamiento. Según diseño y especificaciones de E.P.M.</t>
  </si>
  <si>
    <t xml:space="preserve">Total Horas hombre </t>
  </si>
  <si>
    <t xml:space="preserve">Plazo del proyecto </t>
  </si>
  <si>
    <t>Equipos Generadores de Ruido</t>
  </si>
  <si>
    <t xml:space="preserve">Promedio trabajadores mensual </t>
  </si>
  <si>
    <t xml:space="preserve">Trabajo en altura </t>
  </si>
  <si>
    <t>Si</t>
  </si>
  <si>
    <t>Frentes de trabajos Aprox.</t>
  </si>
  <si>
    <t>Indice de rotación de personal</t>
  </si>
  <si>
    <t>Trabajadores en alturas</t>
  </si>
  <si>
    <t>1. COMPONENTE SOCIAL</t>
  </si>
  <si>
    <t>Accion Social</t>
  </si>
  <si>
    <t>Programa al cual pertenece en el PASAO</t>
  </si>
  <si>
    <t>Detalle</t>
  </si>
  <si>
    <t>Valor Unitario</t>
  </si>
  <si>
    <t>SOCIALIZACION</t>
  </si>
  <si>
    <t>Programa de participación ciudadana</t>
  </si>
  <si>
    <t>Reuniones con comunidad inicio,avance y finde obra. Incluye refrigerio,sitio de reunión,silleteria y medio audiovisual requerido. (100 Personas)</t>
  </si>
  <si>
    <t>Un</t>
  </si>
  <si>
    <t>Reuniones y capacitaciones  comité ciudadano de obra. Esto incluye refrigerio, sitio de reunión, silleteria y medio audiovisual requerido.</t>
  </si>
  <si>
    <t>Actividad de sostenibilidad una vez finalizada la obra</t>
  </si>
  <si>
    <t>INFORMACION Y DIVULGACION</t>
  </si>
  <si>
    <t>Programa de información y comunicación a la comunidad</t>
  </si>
  <si>
    <t xml:space="preserve">Afiche según manual de imagen </t>
  </si>
  <si>
    <t>Volantes de obra: papel propalcote mate de 90 gramos, impreso por ambas caras a cuatro tintas, refilados, en tamaño media carta</t>
  </si>
  <si>
    <t>Buzón PQRS</t>
  </si>
  <si>
    <t>Carteleras informativas: madera o corcho de 1 metro x 90 cms.</t>
  </si>
  <si>
    <t>Papeleria y formatos ( conformacion de AZ con información social del contrato, atención a PQRS, actas de reuniones, etc)</t>
  </si>
  <si>
    <t>Pendones   institucionales   para  volquetas.   (De  2  x  1 metro)</t>
  </si>
  <si>
    <t>Transporte, montaje y desmonte de valla informativa de obra de 6 x 3. Incluye lona, láninas y torres en hierro</t>
  </si>
  <si>
    <t>ACTAS DE VECINDAD Y DE ENTORNO</t>
  </si>
  <si>
    <t>Programa restitución de bienes afectados</t>
  </si>
  <si>
    <t>Actas de vecindad y cierre (Area de influencia directa y cuando se requiera realizar en el área de influencia indirecta).  Incluye  registro  fotográfico,  video,  físico  y digital.</t>
  </si>
  <si>
    <t>EVENTO PRIMERA PIEDRA</t>
  </si>
  <si>
    <t>EVENTO DE ENTREGA DE OBRA</t>
  </si>
  <si>
    <t>TOTAL COMPONENTE  SOCIAL</t>
  </si>
  <si>
    <t>2. SEGURIDAD INDUSTRIAL Y SALUD EN EL TRABAJO</t>
  </si>
  <si>
    <t>Accion SST</t>
  </si>
  <si>
    <t>SEGURIDAD Y SALUD EN EL TRABAJO</t>
  </si>
  <si>
    <t>Examenes Médicos</t>
  </si>
  <si>
    <t>Exámenes médicos ocupacionales de ingreso (Visometría (realizada por optometra), espirometría (realizada por terapeuta respiratoria), audiometría, énfasis osteomuscular, con alturas.</t>
  </si>
  <si>
    <t>Exámenes médicos ocupacionales periodicos (Visometría (realizada por optometra), espirometría (realizada por terapeuta respiratoria), audiometría, énfasis osteomuscular, con alturas.</t>
  </si>
  <si>
    <t>Exámenes médicos ocupacionales Psicomotriz para conductores</t>
  </si>
  <si>
    <t>Exámenes médicos ocupacionales de egreso (Visometría, espirometría, audiometría, énfasis osteomuscular</t>
  </si>
  <si>
    <t>Medicina Preventiva</t>
  </si>
  <si>
    <t>APH</t>
  </si>
  <si>
    <t xml:space="preserve">Un </t>
  </si>
  <si>
    <t xml:space="preserve">Alcoholímetro </t>
  </si>
  <si>
    <t>Tensiometro</t>
  </si>
  <si>
    <t xml:space="preserve">Alquiler Detector de gases </t>
  </si>
  <si>
    <t>Camilla de Emergencia Polietileno 185x45cm</t>
  </si>
  <si>
    <t>Botiquines para campamentos y Frentes de trabajo 18 Pulg.</t>
  </si>
  <si>
    <t>Botiquin tipo B morral 52x36x13cm ECO</t>
  </si>
  <si>
    <t>Suero sales hidratantes</t>
  </si>
  <si>
    <t>Caja por 30</t>
  </si>
  <si>
    <t>Insumos botiquines</t>
  </si>
  <si>
    <t>Unidades</t>
  </si>
  <si>
    <t>Bloqueador solar</t>
  </si>
  <si>
    <t>Botiquines para vehiculos</t>
  </si>
  <si>
    <t>Sirena de alta potencia</t>
  </si>
  <si>
    <t>Juego de ferulas inmovilizadoras</t>
  </si>
  <si>
    <t>Extintor de Agente CO2 10 libras</t>
  </si>
  <si>
    <t>Extintor ABC 10 libras</t>
  </si>
  <si>
    <t>Extintor Tipo K 1,5 Kg</t>
  </si>
  <si>
    <t>Radios Portátilespunto a punto</t>
  </si>
  <si>
    <t>Recarga extintores</t>
  </si>
  <si>
    <t>Capacitacion de brigadas de emergencias (15 personas 10% del total del personal)</t>
  </si>
  <si>
    <t>Jornada de la salud</t>
  </si>
  <si>
    <t>Señalizacion informativa, preventiva y de prohibición laminada o plastificada</t>
  </si>
  <si>
    <t>Capacitaciones y Calistenia - Personal Operativo y Admin.</t>
  </si>
  <si>
    <t>Hr</t>
  </si>
  <si>
    <t>Evaluaciones de puesto de trabajo</t>
  </si>
  <si>
    <t>Riesgo Psicosocial</t>
  </si>
  <si>
    <t xml:space="preserve">Baterias </t>
  </si>
  <si>
    <t>Seguridad Industrial</t>
  </si>
  <si>
    <t>Chalecos para personal administrativo</t>
  </si>
  <si>
    <t>Chaleco reflectivo naranja para bandereros</t>
  </si>
  <si>
    <t>Uniformes de obras estampados según manual de imagen</t>
  </si>
  <si>
    <t>Botas de seguridad</t>
  </si>
  <si>
    <t>Cascos</t>
  </si>
  <si>
    <t>Protectores auditivos tipo inserción</t>
  </si>
  <si>
    <t xml:space="preserve">Protector auditivo tipo copa </t>
  </si>
  <si>
    <t>Monogafas Cirene Cyclops Oscura</t>
  </si>
  <si>
    <t>Guantes de vaqueta tipo ingeniero</t>
  </si>
  <si>
    <t>Guantes de Nitrilo corto Cal.6</t>
  </si>
  <si>
    <t>Guantes de Nitrilo largo</t>
  </si>
  <si>
    <t>Guantes de Caucho calibre 35</t>
  </si>
  <si>
    <t>Guantes de Nylon</t>
  </si>
  <si>
    <t>Barbuquejos</t>
  </si>
  <si>
    <t>Mascarilla industrial negra Eco</t>
  </si>
  <si>
    <t>Mascarilla   desechable   tipo  N95  o  equivalente   para material particulado</t>
  </si>
  <si>
    <t>Respirador Facial media cara  7500</t>
  </si>
  <si>
    <t>Filtro respirador 2097</t>
  </si>
  <si>
    <t>Careta para esmerilar</t>
  </si>
  <si>
    <t>Acrilico para careta de esmerilar</t>
  </si>
  <si>
    <t>Impermeable industrial delta T-L HT2 PIEZ</t>
  </si>
  <si>
    <t>Megafono 25w/110v</t>
  </si>
  <si>
    <t>Und.</t>
  </si>
  <si>
    <t>Trabajo en alturas</t>
  </si>
  <si>
    <t>Curso de Coordinadores de alturas</t>
  </si>
  <si>
    <t>Arnes multiproposito 4 argollas</t>
  </si>
  <si>
    <t>Eslinga doble en Y sin Absorb.</t>
  </si>
  <si>
    <t>Eslinga doble en Y con Absorb.</t>
  </si>
  <si>
    <t>Cuerda Linea de vida comercial 13mm x 30 mts</t>
  </si>
  <si>
    <t>Cuerda Linea de vida comercial 13mm x 50 mts</t>
  </si>
  <si>
    <t>Mosquetones</t>
  </si>
  <si>
    <t>Frenos arrestrador 13mm ojo grande</t>
  </si>
  <si>
    <t>Escalera certificada 3 pasos</t>
  </si>
  <si>
    <t>TOTAL SEGURIDAD INDUSTRIAL Y SALUD EN EL TRABAJO</t>
  </si>
  <si>
    <t>3. PLAN DE GESTION AMBIENTAL</t>
  </si>
  <si>
    <t>Accion Ambiental</t>
  </si>
  <si>
    <t>MANEJO DE AGUAS SUPERFICIALES (LLUVIAS Y RESIDUALES)</t>
  </si>
  <si>
    <t>Prevencion de la contaminación de cuerpos de agua y redes de servicio publico</t>
  </si>
  <si>
    <t>Protección de Sumideros con tela verde</t>
  </si>
  <si>
    <t>Construcción de lavadero de llantas</t>
  </si>
  <si>
    <t>Caja desarenadora móvil para la concretadora de 1 x 1 m.</t>
  </si>
  <si>
    <t>Construcción   de   juego   de   tanques   sedimentadores moviles con canecas de 55 galones, tuberia pvc de 1/2" y 1m de geotextil.</t>
  </si>
  <si>
    <t>Construcción piscinas de sedimentación</t>
  </si>
  <si>
    <t>Construcción trampa de grasas</t>
  </si>
  <si>
    <t>Obras para el control de escorrentía</t>
  </si>
  <si>
    <t xml:space="preserve">MANEJO DE RESIDUOS SOLIDOS </t>
  </si>
  <si>
    <t>Programa para el manejo de residuos solidos</t>
  </si>
  <si>
    <t>Construcción  de  caseta  para  el  acopio  de  residuos sólidos comunes (6m2). Incluye teleras, largueros y tejas de zinc</t>
  </si>
  <si>
    <t>Canecas  de  55  galones  para  disposición  de  residuos sólidos (no aprovechables, aprovechables y orgánicos)</t>
  </si>
  <si>
    <t>Caneca de 44 litros para residuos peligrosos (Roja)</t>
  </si>
  <si>
    <t>Canecas  de  5  galones  para  disposición  de  residuos sólidos  (oficinas  contratista  e interventoría  y almacén), (no aprovechables, aprovechables y orgánicos)</t>
  </si>
  <si>
    <t>Punto ecologico de 55 lts de 3 puestos para la separación de residuos (caneca verde, blanca y negra)</t>
  </si>
  <si>
    <t>Bolsas    plásticas    para    los    frentes    de    obra    (no aprovechables, aprovechables, orgánicos y peligrosos)</t>
  </si>
  <si>
    <t>Recolección de residuos sólidos especiales por parte de una empresa autorizada (m3)</t>
  </si>
  <si>
    <t>Recolección de residuos sólidos ordinarios por empresa prestadora del servicio de aseo</t>
  </si>
  <si>
    <t>Herramientas y equipos para aseo y limpieza de obra</t>
  </si>
  <si>
    <t>Costales de fibra para la recolección de residuos u otros elementos</t>
  </si>
  <si>
    <t>Señalizacion en sitios internos ( señalizacion laminada o plastificada)</t>
  </si>
  <si>
    <t>MANEJO DE SUSTANCIAS QUIMICAS</t>
  </si>
  <si>
    <t>Programa manejo de sustancias Quimicas</t>
  </si>
  <si>
    <t>Kit de emergencia para derrames químicos</t>
  </si>
  <si>
    <t>Bomba P/Extraer gasolina - Groz - ACPM x 55 Gl</t>
  </si>
  <si>
    <t>Extintor multiproposito ABC 10 lbs</t>
  </si>
  <si>
    <t>Adecuación zona de acopio de combustibles (con rejas, candado y canal perimetral en caso de derrame)</t>
  </si>
  <si>
    <t>USO Y AHORRO DE AGUA Y ENERGIA</t>
  </si>
  <si>
    <t>Programa de uso y ahorro de agua y energia</t>
  </si>
  <si>
    <t>Señalización aluciva al ahorro de energia y agua</t>
  </si>
  <si>
    <t>Suministro e instalacion de dispositivos ahorradores para mangueras, llaves e hidrolavadora</t>
  </si>
  <si>
    <t>Manguera 1/2" para riego</t>
  </si>
  <si>
    <t>m</t>
  </si>
  <si>
    <t>ALMACENAMIENTO MATERIALES DE CONSTRUCCION</t>
  </si>
  <si>
    <t>Programa Uso y almacenamiento adecuado de materiales de construcción</t>
  </si>
  <si>
    <t>Teleras  para  construcción  de  acopios  de  materiales como medida de protección del suelo</t>
  </si>
  <si>
    <t>Plásticos  y  elementos  de  protección  de  materiales  y escombros</t>
  </si>
  <si>
    <t>Rollo</t>
  </si>
  <si>
    <t>Humectación vías, incluye carrotanque y conductor durante  todo  el tiempo  de ejecución  de la obra  y las horas que la interventoria lo considere necesario.</t>
  </si>
  <si>
    <t>mes</t>
  </si>
  <si>
    <t>Teleras  para  cruces  y/o  senderos  peatonales,y  para protección de excavaciones</t>
  </si>
  <si>
    <t>Desmantelamiento de la estructura (islas de combustión)</t>
  </si>
  <si>
    <t>Tratamiento de las borras (sedimento del combustible)</t>
  </si>
  <si>
    <t>Demolición de campamentos provisionales</t>
  </si>
  <si>
    <t>Balizas para delimitacion de zonas de acopio</t>
  </si>
  <si>
    <t xml:space="preserve">Cinta reflectiva de peligro x 500 metros </t>
  </si>
  <si>
    <t>Señalización zonas de acopio laminada o plastificada</t>
  </si>
  <si>
    <t>Personal  auxiliar ambiental  (limpieza  y traslado de señales)</t>
  </si>
  <si>
    <t>persona/mes</t>
  </si>
  <si>
    <t>EN LA A HAY 4 TRABAJADORES</t>
  </si>
  <si>
    <t>EMISIONES ATMOSFERICAS</t>
  </si>
  <si>
    <t>Programa manejo de emisiones atmosfericas</t>
  </si>
  <si>
    <t>Cubierta para la zona de concretadora. Incluye largueros y plastico o lona</t>
  </si>
  <si>
    <t>Cubierta para la zona de cortadora. Incluye largueros y plastico o lona</t>
  </si>
  <si>
    <t>MANEJO DE CAMPAMENTOS</t>
  </si>
  <si>
    <t>Programa manejo de campamentos e instalaciones temporales</t>
  </si>
  <si>
    <t>Señalizacion de campamentos e instalaciones temporales (señalizacion laminada o plastificada)</t>
  </si>
  <si>
    <t>Adecuacion de senderos peatonales</t>
  </si>
  <si>
    <t>Teleras para construcción de provisionales</t>
  </si>
  <si>
    <t>FAUNA Y FLORA</t>
  </si>
  <si>
    <t>Programa para la proteccion de fauna y flora</t>
  </si>
  <si>
    <t>Señalizacion aluciva al cuidado de la fauna y flora</t>
  </si>
  <si>
    <t>Malla tipo polisombra color naranja para delimitacion de zonas verdes y proteccion de árboles</t>
  </si>
  <si>
    <t>Largueros en madera para proteccion de arboles</t>
  </si>
  <si>
    <t>TOTAL GESTION AMBIENTAL</t>
  </si>
  <si>
    <t>4. PLAN DE MANEJO DE TRÁNSITO</t>
  </si>
  <si>
    <t>4.P.M.T</t>
  </si>
  <si>
    <t>SEÑALES PREVENTIVAS EN OBRAS</t>
  </si>
  <si>
    <t>SEÑALES REUTILIZABLES EN OTRAS OBRAS</t>
  </si>
  <si>
    <t>Suministro  de  señal  informativa  según  ficha  técnica marcada como Obra en la vía a 100 m</t>
  </si>
  <si>
    <t>Suministro   de   señal   informativa   móvil   según   ficha técnica marcada como Obra en la vía a 500 m</t>
  </si>
  <si>
    <t>Suministro   de   señal   informativa   móvil   según   ficha técnica marcada como Inicio de Obra</t>
  </si>
  <si>
    <t>Suministro   de   señal   informativa   móvil   según   ficha técnica marcada como Fin de Obra</t>
  </si>
  <si>
    <t>Suministro   de   señal   informativa   móvil   según   ficha técnica marcada como Carril izquierdo Cerrado</t>
  </si>
  <si>
    <t>Suministro   de   señal   informativa   móvil   según   ficha técnica marcada como Carril derecho Cerrado</t>
  </si>
  <si>
    <t>Suministro de señal preventiva móvil según ficha técnica Hombres trabajando</t>
  </si>
  <si>
    <t>Suministro de señal preventiva móvil según ficha técnica Maquinaria en la vía</t>
  </si>
  <si>
    <t>Suministro de señal preventiva móvil según ficha técnica reducción de calzada Izquierda</t>
  </si>
  <si>
    <t>Suministro de señal preventiva móvil según ficha técnica reducción de calzada Derecha</t>
  </si>
  <si>
    <t>Suministro  de  señal  reglamentaria  móvil  según  ficha técnica Prohibido adelantar</t>
  </si>
  <si>
    <t>Suministro  de  señal  reglamentaria  móvil  según  ficha técnica Velocidad 50</t>
  </si>
  <si>
    <t>Suministro  de  señal  reglamentaria  móvil  según  ficha técnica Velocidad 40</t>
  </si>
  <si>
    <t>Suministro  de  señal  reglamentaria  móvil  según  ficha técnica Velocidad 30</t>
  </si>
  <si>
    <t>Suministro  de  señal  reglamentaria  móvil  según  ficha técnica Velocidad 20</t>
  </si>
  <si>
    <t>Suministro  de  señal  reglamentaria  móvil  según  ficha técnica Vía Cerrada</t>
  </si>
  <si>
    <t>Suministro  de  señal  reglamentaria  móvil  según  ficha técnica Desvío Izquierdo</t>
  </si>
  <si>
    <t>Suministro  de  señal  reglamentaria  móvil  según  ficha técnica Desvío Derecho</t>
  </si>
  <si>
    <t>Suministro  de  señal  pare  y  siga,  reflectiva  con  paral según ficha técnica</t>
  </si>
  <si>
    <t>Barricadas  de ancho entre 1,5 y 2,40m, altura mínima 1,5m  y  con   franjas  de  material  retrorreflectivo  según ficha técnica sentido derecho</t>
  </si>
  <si>
    <t>Barricadas  de ancho entre 1,5 y 2,40m, altura mínima 1,5m  y  con   franjas  de  material  retrorreflectivo  según ficha técnica sentido izquierdo</t>
  </si>
  <si>
    <t>Suministro de señal reglamentaria solo disco según ficha técnica Vía Cerrada</t>
  </si>
  <si>
    <t>Suministro de señal reglamentaria solo disco según ficha técnica Desvío Izquierdo</t>
  </si>
  <si>
    <t>Suministro de señal reglamentaria solo disco según ficha técnica Desvío Derecho</t>
  </si>
  <si>
    <t>Suministro  de  barrera  plastica  flexible  (maletines  de 2x1x0.5m)</t>
  </si>
  <si>
    <t xml:space="preserve">Delineador tubular según ficha técnica (Hitos) </t>
  </si>
  <si>
    <t xml:space="preserve">Cono PVC 90cm con cinta reflectiva </t>
  </si>
  <si>
    <t>Suministro señal Entrada y Salida de volquetas</t>
  </si>
  <si>
    <t>Suministro Señal auxiliar de transito</t>
  </si>
  <si>
    <t>Suministro de señal Transite con precaución</t>
  </si>
  <si>
    <t>Corbatin flecha a la derecha</t>
  </si>
  <si>
    <t>Suministro Señal Peatones a la izquiera</t>
  </si>
  <si>
    <t>Suministro Señal peatones a la derecha</t>
  </si>
  <si>
    <t>Suministro señal Disculpe por las molestias ocasionadas</t>
  </si>
  <si>
    <t xml:space="preserve">Malla Plástica Naranja (1,40 x 50 metros) </t>
  </si>
  <si>
    <t xml:space="preserve">Polisombra x 100 metros </t>
  </si>
  <si>
    <t xml:space="preserve">Chaleco reflectivo naranja </t>
  </si>
  <si>
    <t xml:space="preserve">Silbato tipo transito </t>
  </si>
  <si>
    <t>Lámpara de trafico decagonal según ficha técnic(flasher)</t>
  </si>
  <si>
    <t>Capacitación y entrenamiento para auxiliares de tránsito para obras en vías</t>
  </si>
  <si>
    <t>IMPLEMENTACION DEL PLAN DE MANEJO DE TRANSITO</t>
  </si>
  <si>
    <t>Dispositivos y Planes de divulgacion a la Comunidad</t>
  </si>
  <si>
    <t xml:space="preserve">Brigada de señalización (1 cada 4 meses) </t>
  </si>
  <si>
    <t>Brazalete Brigadista</t>
  </si>
  <si>
    <t>Personal auxiliar de transito, incluida dotación - 2 Aux. Transito</t>
  </si>
  <si>
    <t xml:space="preserve">Avisos de Prensa a color. </t>
  </si>
  <si>
    <t>Pasacalles en lona e impresión digital full color. Incluye
instalación y desinstalación. Se pagan solo una vez</t>
  </si>
  <si>
    <t>Permisos de Cierre de Via</t>
  </si>
  <si>
    <t>Asesoria Especialista en movilidad</t>
  </si>
  <si>
    <t>Estructuración y Trámite de aprobación de PMT</t>
  </si>
  <si>
    <t>Permiso para el cierre de vías en los momentos en que
se requiera, ante la autoridad competente</t>
  </si>
  <si>
    <t>TOTAL PLAN DE MANEJO DE TRANSITO</t>
  </si>
  <si>
    <t>VALOR TOTAL DEL PLAN DE GESTION SOCIAL, AMBIENTAL, SISO -(SISOMA)-, PMT</t>
  </si>
  <si>
    <t>Pabellon  12  x  12,  pantalla  LED  5  x  3  m(p4),  mesa pricipal para 10 personas y sillas (100), backing, volante informativo, Sonido 5000 vatios incluye microfono, tarima forrada de 6 x 6 m, sistema electrico y tapa cables, hidratación cinta y tijeras para dar apertura simbólica.</t>
  </si>
  <si>
    <t>Pabellon  12  x  12,  pantalla  LED  5  x  3  m(p4),  mesa pricipal para 10 personas y sillas (100), backing, volante informativo, Sonido 5000 vatios incluye microfono, tarima forrada de 6 x 6 m, sistema electrico y tapa cables, hidratación.</t>
  </si>
  <si>
    <t>Cepillos carreteros</t>
  </si>
  <si>
    <t>Overol antifluidos desechable con capucha y botas PVC seguridad amarillo</t>
  </si>
  <si>
    <t>2 veces al mes x una hora</t>
  </si>
  <si>
    <t>Alquiler de Hidrolavadora</t>
  </si>
  <si>
    <t>Curso de Espacios confinados</t>
  </si>
  <si>
    <t>VIGENCIA DE 3 AÑOS</t>
  </si>
  <si>
    <t>Curso de alturas</t>
  </si>
  <si>
    <t>9.2.8</t>
  </si>
  <si>
    <t>ESPECIFICACIÓN:</t>
  </si>
  <si>
    <t xml:space="preserve">ITEM: </t>
  </si>
  <si>
    <t>UNIDAD:</t>
  </si>
  <si>
    <t>TAPA PREFABRICADA EN CONCRETO PARA CÁMARA DE INSPECCIÓN</t>
  </si>
  <si>
    <t>TRANSPORTE DE MATERIAL</t>
  </si>
  <si>
    <t>RETROCARGADOR CAT 510</t>
  </si>
  <si>
    <t>CUELLO PREFABRICADO EN CONCRETO PARA CÁMARA DE INSPECCIÓN Ø=1,20M</t>
  </si>
  <si>
    <t>MORTERO 1:4</t>
  </si>
  <si>
    <t>CONO L=0.8 M EXCENTRICO CÁMARA DE INSPECCIÓN Ø=1,20M</t>
  </si>
  <si>
    <t>EMPAQUE PARA CAMARA DE DIAMETRO 1.20 M</t>
  </si>
  <si>
    <t>CILINDRO MH DN=1200MM (48") L= 1.00  M CÁMARA DE INSPECCIÓN Ø=1,20M</t>
  </si>
  <si>
    <t>CONCRETO 28 MPA BASE</t>
  </si>
  <si>
    <t>CONCRETO 28 MPA CAÑUELA</t>
  </si>
  <si>
    <t>FORMALETA EN MADERA COMUN</t>
  </si>
  <si>
    <t>TRANSPORTE DE EQUIPO</t>
  </si>
  <si>
    <t>SOLDADOR ELÉCTRICO</t>
  </si>
  <si>
    <t>TALADRO DEMOLEDOR</t>
  </si>
  <si>
    <t>ESTENSIÓN ENCAUCHETADA 30 M</t>
  </si>
  <si>
    <t>MORTERO DE ALTA RESISTENCIA TIPO SIKATOP Ó SIMILAR</t>
  </si>
  <si>
    <t>FORMALETA EN MADERA</t>
  </si>
  <si>
    <t>ELECTRICO</t>
  </si>
  <si>
    <t xml:space="preserve">GANCHOS PARA MH </t>
  </si>
  <si>
    <t>SIKADUR ANCHOR FIX 4 X 600CC</t>
  </si>
  <si>
    <t xml:space="preserve">Ítems </t>
  </si>
  <si>
    <t>Actividad</t>
  </si>
  <si>
    <t xml:space="preserve"> V / Unitario </t>
  </si>
  <si>
    <t>Señalizacion horizontal (Pictogramas, Lineas y Cebras)</t>
  </si>
  <si>
    <t>Propuesta de cambio estructural</t>
  </si>
  <si>
    <t>Suministro e instalación de marcas viales con material plástico en frío con resistencia al deslizamiento (flechas direccionales, flechas de fin de carril, textos, pares, triángulos ceda el paso, diamantes ceda el paso, textos de zona, pictograma de zona escolar entre otros). Incluye alúmina antideslizante, garantia superior a 3 años.</t>
  </si>
  <si>
    <t>Suministro e instalación de marcas viales con material plástico en frío con resistencia al deslizamiento , Incluye alúmina antideslizante. LINEA BLANCA O AMARILLA, Canalización continua o segmentada (12cm) garantia superior a 3 años.</t>
  </si>
  <si>
    <t>Suministro  y aplicación de  recubrimiento y demarcación vial, para RESALTOS, COLOR AMARILLO de 2,20m de ancho en  material plástico en frío, antideslizante, y reflectivo. garantia superior a 3 años.</t>
  </si>
  <si>
    <t>Señalizacion Vertical (Señales de poste y techo)</t>
  </si>
  <si>
    <t>Retiro de señal vertical o poste y traslado e instalacion al lugar que indiquen</t>
  </si>
  <si>
    <t>Suministro e instalación de señalización vertical tipo SI - nomenclatura urbana tipo cruceta con material reflectivo tipo XI en tubería de 3", según normas y especificaciones del ministerio de vías y transportes. Incluye suministro, transporte, parales, aviso y anclajes, previa aprobación por parte de la Interventoría.y todo lo necesario para su correcta instalación.</t>
  </si>
  <si>
    <t>Suministro e instalación de señalización CORBATIN DE 75X25 elaborado en lamina galvanizada calibre 16 y recubierto en reflectivi tipo XI (Grado Diamante DG3)</t>
  </si>
  <si>
    <t>Construcción de campamento provisionales modulares (Ofcinas personal administrativo, Interventoría, Almacén, Subcontratistas y Bodega).</t>
  </si>
  <si>
    <t>Auxilio arriendo de impresora</t>
  </si>
  <si>
    <t>GASTOS OFICINA CENTRAL</t>
  </si>
  <si>
    <t>Arrendamiento equipos de computo</t>
  </si>
  <si>
    <t>REAJUSTES</t>
  </si>
  <si>
    <t>Suministro, Transporte e Instalacion de Gabinete Electrico, Incluye:
Breaker Industrial Totalizador 2x40A, Icc 10KA (1). Sistema de encendido/apagado automatico de Iluminacion con temporizador, incluye contactor. (1) Minibreaker 2x20A, Icc 10KA (7)Reserva No equipadas 2x20A, Icc 10KA (4)</t>
  </si>
  <si>
    <t>AJUSTADO</t>
  </si>
  <si>
    <t>AJUSTADO PRECIO</t>
  </si>
  <si>
    <t>Ayudante Electrico</t>
  </si>
  <si>
    <t>Oficial Electrico</t>
  </si>
  <si>
    <t>OFICIAL ELECTRICO</t>
  </si>
  <si>
    <t>AYUDANTE ELECTRICO</t>
  </si>
  <si>
    <t>CINTA AUTOFUNDENTE</t>
  </si>
  <si>
    <t>CINTA AISLANTE SUPER 33</t>
  </si>
  <si>
    <t>CONECTORES PARA CABLE</t>
  </si>
  <si>
    <t>CORREDILLAS</t>
  </si>
  <si>
    <t>CINTA BANDI</t>
  </si>
  <si>
    <t>HEBILLAS CINTA BANDIT</t>
  </si>
  <si>
    <t>Luminaria tipo sendera. Acrilico Opal. LED
35W. 4.000°K. 120-277V. Color Negro.</t>
  </si>
  <si>
    <t>TABLERO DE MEDIA Y PROTECCIÓN TIPO INTEMPERIE ALUMBRADO PÚBLICO</t>
  </si>
  <si>
    <t>ESTAS LISTAS DE PRECIOS NO INCLUYEN IVA</t>
  </si>
  <si>
    <t>TUBO GALVANIZADO DE 2"</t>
  </si>
  <si>
    <t>CAPACETE 2"</t>
  </si>
  <si>
    <t>ITEM:</t>
  </si>
  <si>
    <t xml:space="preserve">ESPECIFICACIÓN: </t>
  </si>
  <si>
    <t>Suministro, transporte e instalación de tubería P.V.C-Sanitaria d=6" o similar.(Incluye los accesorios necesarios para su funcionamiento, Según norma técnica ASTM 2324)</t>
  </si>
  <si>
    <t>9.1</t>
  </si>
  <si>
    <t>9.1.1</t>
  </si>
  <si>
    <t>9.1.2</t>
  </si>
  <si>
    <t>9.1.3</t>
  </si>
  <si>
    <t>Excavación manual o mecánica 0 - 2 m, bajo cualquier grado de humedad. Incluye: roca descompuesta, bolas de roca de volumen inferior a 0.35 m³., No incluye: El cargue, transporte interno y externo y botada de material proveniente de las excavaciones y su medida será en el sitio y el entibado se pagará en su ítem correspondiente.</t>
  </si>
  <si>
    <t>Suministro, transporte y colocación de TRITURADO de 3/4 " para construcción de CIMENTACIÓN. Incluye transporte externo y colocación</t>
  </si>
  <si>
    <t>LLENOS EN ARENILLA, compactados mecánicamente hasta obtener una densidad del 95% de la máxima obtenida en el ensayo del próctor modificado. Incluye el suministro, transporte, colocación de la arenilla, la compactación de la misma. Y su medida será en sitio ya compactado.</t>
  </si>
  <si>
    <t>LLENOS EN MATERIAL PROVENIENTES DE LA EXCAVACIÓN, compactados mecánicamente hasta obtener una densidad del 95% de la máxima obtenida en el ensayo del próctor modificado. Su medida será en sitio ya compactado.</t>
  </si>
  <si>
    <t>TUBERIA SANITARIA 6"</t>
  </si>
  <si>
    <t>CODO 90° 6"</t>
  </si>
  <si>
    <t>YEES SANITARIAS 6"</t>
  </si>
  <si>
    <t>TEES SANITARIAS 6"</t>
  </si>
  <si>
    <t>CARGUE MANUAL O MECÁNICO, TRANSPORTE Y BOTADA de material proveniente de las explanaciones y excavaciones. Incluye cargue con paleros y derecho de botadero. Se debe hacer en botaderos oficiales autorizados por la entidad competente o hasta el sitio que indique la interventoría. Su medida será en sitio.</t>
  </si>
  <si>
    <t>TRITURADO 3/4"</t>
  </si>
  <si>
    <t>ARENILLA</t>
  </si>
  <si>
    <t>Compactador tipo Canguro. Incluye operador, combustible y transporte.</t>
  </si>
  <si>
    <t>día</t>
  </si>
  <si>
    <t>Taco redondo de madera de 3.0m x 2.89m</t>
  </si>
  <si>
    <t>Can Zunchado en madera común. De 3,5cm x 20 cm x 3,0m. Incluye transporte.</t>
  </si>
  <si>
    <t>Construcción de ENTIBADO TEMPORAL en tablón de madera, bajo cualquier altura y grado de humedad. Incluye suministro, transporte y colocación de elementos en madera, el cargue, transporte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t>
  </si>
  <si>
    <t>SST / PMA Y PMT</t>
  </si>
  <si>
    <t xml:space="preserve">CAPITULO: </t>
  </si>
  <si>
    <t>3.1</t>
  </si>
  <si>
    <t>3.1.1</t>
  </si>
  <si>
    <t>3.1.1.1</t>
  </si>
  <si>
    <t>3.1.1.2</t>
  </si>
  <si>
    <t>3.1.1.3</t>
  </si>
  <si>
    <t>3.1.2</t>
  </si>
  <si>
    <t>3.1.3</t>
  </si>
  <si>
    <t>3.1.4</t>
  </si>
  <si>
    <t>3.2</t>
  </si>
  <si>
    <t>3.2.1</t>
  </si>
  <si>
    <t>3.2.2</t>
  </si>
  <si>
    <t>3.2.3</t>
  </si>
  <si>
    <t>MOVIMIENTO DE TIERRA</t>
  </si>
  <si>
    <t>LLENOS Y ENTIBADOS</t>
  </si>
  <si>
    <t>SEÑALIZACIÓN</t>
  </si>
  <si>
    <t>6.3</t>
  </si>
  <si>
    <t>6.4</t>
  </si>
  <si>
    <t>6.1.1</t>
  </si>
  <si>
    <t>6.1.2</t>
  </si>
  <si>
    <t>6.1.3</t>
  </si>
  <si>
    <t>6.1.4</t>
  </si>
  <si>
    <t>6.1.5</t>
  </si>
  <si>
    <t>6.1.6</t>
  </si>
  <si>
    <t>6.1.7</t>
  </si>
  <si>
    <t>6.1.8</t>
  </si>
  <si>
    <t>6.1.9</t>
  </si>
  <si>
    <t>6.1.10</t>
  </si>
  <si>
    <t>6.2.1</t>
  </si>
  <si>
    <t>6.2.2</t>
  </si>
  <si>
    <t>6.2.3</t>
  </si>
  <si>
    <t>6.2.4</t>
  </si>
  <si>
    <t>6.2.5</t>
  </si>
  <si>
    <t>6.2.6</t>
  </si>
  <si>
    <t>6.2.7</t>
  </si>
  <si>
    <t>6.2.8</t>
  </si>
  <si>
    <t>6.2.9</t>
  </si>
  <si>
    <t>6.2.10</t>
  </si>
  <si>
    <t>6.3.1</t>
  </si>
  <si>
    <t>6.3.2</t>
  </si>
  <si>
    <t>6.3.3</t>
  </si>
  <si>
    <t>6.3.4</t>
  </si>
  <si>
    <t>6.3.5</t>
  </si>
  <si>
    <t>6.3.6</t>
  </si>
  <si>
    <t>6.3.7</t>
  </si>
  <si>
    <t>6.3.8</t>
  </si>
  <si>
    <t>6.3.9</t>
  </si>
  <si>
    <t>6.3.10</t>
  </si>
  <si>
    <t>6.3.11</t>
  </si>
  <si>
    <t>6.3.12</t>
  </si>
  <si>
    <t>6.3.13</t>
  </si>
  <si>
    <t>6.3.14</t>
  </si>
  <si>
    <t>6.3.15</t>
  </si>
  <si>
    <t>6.3.16</t>
  </si>
  <si>
    <t>6.3.17</t>
  </si>
  <si>
    <t>6.3.18</t>
  </si>
  <si>
    <t>6.4.1</t>
  </si>
  <si>
    <t>6.4.2</t>
  </si>
  <si>
    <t>6.4.3</t>
  </si>
  <si>
    <t>7.1</t>
  </si>
  <si>
    <t>7.1.1</t>
  </si>
  <si>
    <t>7.1.2</t>
  </si>
  <si>
    <t>7.2</t>
  </si>
  <si>
    <t>7.2.1</t>
  </si>
  <si>
    <t>7.2.2</t>
  </si>
  <si>
    <t>7.2.3</t>
  </si>
  <si>
    <t>7.2.4</t>
  </si>
  <si>
    <t>7.3</t>
  </si>
  <si>
    <t>7.3.1</t>
  </si>
  <si>
    <t>7.3.2</t>
  </si>
  <si>
    <t>7.3.3</t>
  </si>
  <si>
    <t>7.3.4</t>
  </si>
  <si>
    <t>7.3.5</t>
  </si>
  <si>
    <t>7.3.6</t>
  </si>
  <si>
    <t>7.3.7</t>
  </si>
  <si>
    <t>7.3.8</t>
  </si>
  <si>
    <t>7.3.9</t>
  </si>
  <si>
    <t>7.3.10</t>
  </si>
  <si>
    <t>7.3.11</t>
  </si>
  <si>
    <t>7.3.12</t>
  </si>
  <si>
    <t>7.3.13</t>
  </si>
  <si>
    <t>7.3.14</t>
  </si>
  <si>
    <t>CAPITULO:</t>
  </si>
  <si>
    <t>9.1.4</t>
  </si>
  <si>
    <t>10.1</t>
  </si>
  <si>
    <t>10.2</t>
  </si>
  <si>
    <t>10.1.1</t>
  </si>
  <si>
    <t>10.2.1</t>
  </si>
  <si>
    <t>10.2.2</t>
  </si>
  <si>
    <t>10.2.3</t>
  </si>
  <si>
    <t>12.1</t>
  </si>
  <si>
    <t>12.2</t>
  </si>
  <si>
    <t>12.1.1</t>
  </si>
  <si>
    <t>12.2.1</t>
  </si>
  <si>
    <t>12.2.2</t>
  </si>
  <si>
    <t>12.2.3</t>
  </si>
  <si>
    <t>12.2.4</t>
  </si>
  <si>
    <t>12.2.5</t>
  </si>
  <si>
    <t>12.2.6</t>
  </si>
  <si>
    <t>13.1</t>
  </si>
  <si>
    <t>MOBILIARIO</t>
  </si>
  <si>
    <t>13.1.1</t>
  </si>
  <si>
    <t>13.1.2</t>
  </si>
  <si>
    <t>13.1.3</t>
  </si>
  <si>
    <t>13.1.4</t>
  </si>
  <si>
    <t>13.1.5</t>
  </si>
  <si>
    <t>13.1.6</t>
  </si>
  <si>
    <t>14.3</t>
  </si>
  <si>
    <t>14.3.1</t>
  </si>
  <si>
    <t>14.3.2</t>
  </si>
  <si>
    <t>7.1.3</t>
  </si>
  <si>
    <t>Excavación manual o mecánica 2 - 4 m, bajo cualquier grado de humedad. Incluye: roca descompuesta, bolas de roca de volumen inferior a 0.35 m³., No incluye: El cargue, transporte interno y externo y botada de material proveniente de las excavaciones y su medida será en el sitio y el entibado se pagará en su ítem correspondiente.</t>
  </si>
  <si>
    <t>CONCRETO PREMEZCLADO FLUIDO 21 Mpa</t>
  </si>
  <si>
    <t>Construcción de LOSA DE FUNDACIÓN en concreto de 21 Mpa. con un espesor 9cm. Incluye suministro, transporte e instalación del concreto, mano de obra, vibrado, protección y curado, para estructuras de acuerdo con las diferentes dimensiones establecidas en los planos y diseños. No incluye refuerzo.</t>
  </si>
  <si>
    <t>MALLA ELECTROSOLADA D84</t>
  </si>
  <si>
    <t>LOSAS Y LOSAS DE FUNDACIÓN</t>
  </si>
  <si>
    <t>Suministro e instalación de enchape de baldosa perlato pulido y sellado de 40x100x6 cm sobre la cara superior de banca y matera, incluye pegacor con latex para exteriores y junta con polvillo color de acuerdo a la baldosa con separación de 2 mm.</t>
  </si>
  <si>
    <t>CONCRETO PREMEZCLADO MR41 PAVIMENTO PLASTICO TM 1"</t>
  </si>
  <si>
    <t>Pavimento Rígido Premezclado de 28 Mpa MR 41 con e=23 cm.  Incluye suministro, transporte e instalación del concreto, mano de obra, vibrado, protección y curado. No incluye refuerzo.</t>
  </si>
  <si>
    <t>3.2.4</t>
  </si>
  <si>
    <r>
      <t>Suministro, transporte e instalación de tubería P.V.C-Novafort S8   d=8" o similar.</t>
    </r>
    <r>
      <rPr>
        <sz val="10"/>
        <color rgb="FF0070C0"/>
        <rFont val="Arial Narrow"/>
        <family val="2"/>
      </rPr>
      <t>(Incluye los accesorios necesarios para su funcionamiento, Según norma técnica ASTM 2322)</t>
    </r>
  </si>
  <si>
    <r>
      <t>Suministro, transporte e instalación de tubería P.V.C-Novafort S8  d=10" o similar.</t>
    </r>
    <r>
      <rPr>
        <sz val="10"/>
        <color rgb="FF0070C0"/>
        <rFont val="Arial Narrow"/>
        <family val="2"/>
      </rPr>
      <t>(Incluye los accesorios necesarios para su funcionamiento, Según norma técnica ASTM 2321)</t>
    </r>
  </si>
  <si>
    <r>
      <t>Suministro, transporte e instalación de tubería P.V.C-Novafort S8  d=6" o similar.</t>
    </r>
    <r>
      <rPr>
        <sz val="10"/>
        <color rgb="FF0070C0"/>
        <rFont val="Arial Narrow"/>
        <family val="2"/>
      </rPr>
      <t>(Incluye los accesorios necesarios para su funcionamiento, Según norma técnica ASTM 2323)</t>
    </r>
  </si>
  <si>
    <t>REALIZAR MEMORIA DE CANTIDAD POR TRAMO</t>
  </si>
  <si>
    <t>Suministro, transporte y colocación de base granular especificación Invias (según diseño). Incluye: Estrutura para losas de contrapiso y vías.</t>
  </si>
  <si>
    <t>Suministro, transporte e instalación de Bordillos prefabricados 35x80x15cm. Incluye: Excavación, nivelación e instalación.</t>
  </si>
  <si>
    <t>Suministro, transporte e instalación de malla electro soldada D-84 para placas de contrapiso.  Incluye el suministro, transportes externo e interno de los materiales, alambre de amarre y todos los elementos necesarios para su correcta instalación y funcionamiento.</t>
  </si>
  <si>
    <t>Suministro e instalación de enchape de baldosa perlato pulido y sellado de 40x40x1 cm sobre la cara superior de banca en concreto, incluye pegacor con latex para exteriores y junta con polvillo color de acuerdo a la baldosa con separación de 2 mm.</t>
  </si>
  <si>
    <t>Suministro e instalación de enchape de baldosa perlato pulido y sellado de 40x52x1 cm sobre la cara frontal de banca en concreto, incluye pegacor con latex para exteriores y junta con polvillo color de acuerdo a la baldosa con separación de 2 mm.</t>
  </si>
  <si>
    <t>Suministro e instalación de piso en royal beta color beteado pulido y brillado de 40x100x3 cm en modulaciones a mitad de baldosa, incluye pegacor con latex para exteriores y junta con polvillo color de acuerdo a la baldosa con separación de 2mm..</t>
  </si>
  <si>
    <t>Suministro e instalación de piso en royal beta color dorado pulido y brillado de 40x100x3 cm en modulaciones a mitad de baldosa, incluye pegacor con latex para exteriores y junta con polvillo color de acuerdo a la baldosa con separación de 2mm..</t>
  </si>
  <si>
    <t>Impuesto 4 x mil (50%)</t>
  </si>
  <si>
    <t>Impuesto 4/1000 (50%)</t>
  </si>
  <si>
    <t>PLANOS "AS BUILT"</t>
  </si>
  <si>
    <t>SUBTOTAL IMPUESTOS, TASAS Y CONTRIBUCIONES</t>
  </si>
  <si>
    <t>Asesorias Especializadas (Hidraulicas, Geotecnicas, Suelos, pavimentos, urbanismo, transito, Estructurales o cualquiera adicional que se requiera), incluye informe por visita de diagnostico, conclusiones y analisis de resultados.</t>
  </si>
  <si>
    <t>IVA 19% (Subtotal interventoría)</t>
  </si>
  <si>
    <t>Base gravable (No incluye pólizas)</t>
  </si>
  <si>
    <t>Pólizas (Reembolsables)</t>
  </si>
  <si>
    <t>IMPUESTOS, TASAS Y CONTRIBUCIONES (Reembolsables)</t>
  </si>
  <si>
    <t>COMPONENTES REEMBOLSABLES</t>
  </si>
  <si>
    <t>SUBTOTAL COMPONENTES REEMBOLSABLES</t>
  </si>
  <si>
    <t>SUBTOTAL PRESUPUESTO OBRA (BASE GRAVABLE PARA IMPUESTOS)</t>
  </si>
  <si>
    <t>TOTAL PRESUPUESTO OBRA</t>
  </si>
  <si>
    <t>IMPUESTOS, TASAS Y CONTRIBUCIONES (REEMBOLSABLE)</t>
  </si>
  <si>
    <t>VALOR TOTAL PROYECTO OBRA + INTERVENTORIA</t>
  </si>
  <si>
    <t>RENOVACIÓN DEL PARQUE PRINCIPAL DEL MUNICIPIO DE COPACABANA - ANTIOQUIA</t>
  </si>
  <si>
    <t>BASE GRAVABLE</t>
  </si>
  <si>
    <t>NUEVE (9) MESES</t>
  </si>
  <si>
    <t>ANEXO OFERTA ECONOMICA</t>
  </si>
  <si>
    <t xml:space="preserve">FIRMA 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</si>
</sst>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
    <numFmt numFmtId="167" formatCode="_-&quot;$&quot;* #,##0.00_-;\-&quot;$&quot;* #,##0.00_-;_-&quot;$&quot;* &quot;-&quot;??_-;_-@_-"/>
    <numFmt numFmtId="168" formatCode="_ [$€-2]\ * #,##0.00_ ;_ [$€-2]\ * \-#,##0.00_ ;_ [$€-2]\ * &quot;-&quot;??_ "/>
    <numFmt numFmtId="169" formatCode="_(* #,##0.00_);_(* \(#,##0.00\);_(* &quot;-&quot;??_);_(@_)"/>
    <numFmt numFmtId="170" formatCode="_-* #,##0.00\ _$_-;\-* #,##0.00\ _$_-;_-* &quot;-&quot;??\ _$_-;_-@_-"/>
    <numFmt numFmtId="171" formatCode="_ * #,##0.00_ ;_ * \-#,##0.00_ ;_ * &quot;-&quot;??_ ;_ @_ "/>
    <numFmt numFmtId="172" formatCode="_-* #,##0.00\ _€_-;\-* #,##0.00\ _€_-;_-* &quot;-&quot;??\ _€_-;_-@_-"/>
    <numFmt numFmtId="173" formatCode="_(&quot;$&quot;\ * #,##0_);_(&quot;$&quot;\ * \(#,##0\);_(&quot;$&quot;\ * &quot;-&quot;_);_(@_)"/>
    <numFmt numFmtId="174" formatCode="_ &quot;$&quot;\ * #,##0.00_ ;_ &quot;$&quot;\ * \-#,##0.00_ ;_ &quot;$&quot;\ * &quot;-&quot;??_ ;_ @_ "/>
    <numFmt numFmtId="175" formatCode="_(&quot;C$&quot;* #,##0.00_);_(&quot;C$&quot;* \(#,##0.00\);_(&quot;C$&quot;* &quot;-&quot;??_);_(@_)"/>
    <numFmt numFmtId="176" formatCode="_-* #,##0.00\ &quot;€&quot;_-;\-* #,##0.00\ &quot;€&quot;_-;_-* &quot;-&quot;??\ &quot;€&quot;_-;_-@_-"/>
    <numFmt numFmtId="177" formatCode="_-* #,##0.00\ &quot;$&quot;_-;\-* #,##0.00\ &quot;$&quot;_-;_-* &quot;-&quot;??\ &quot;$&quot;_-;_-@_-"/>
    <numFmt numFmtId="178" formatCode="#,##0.000"/>
    <numFmt numFmtId="179" formatCode="#,##0.0"/>
    <numFmt numFmtId="180" formatCode="_-* #,##0.00\ &quot;Pts&quot;_-;\-* #,##0.00\ &quot;Pts&quot;_-;_-* &quot;-&quot;??\ &quot;Pts&quot;_-;_-@_-"/>
    <numFmt numFmtId="181" formatCode="&quot;$&quot;\ #,##0.00"/>
    <numFmt numFmtId="182" formatCode="_-* #,##0.00\ [$€]_-;\-* #,##0.00\ [$€]_-;_-* &quot;-&quot;??\ [$€]_-;_-@_-"/>
    <numFmt numFmtId="183" formatCode="0.0"/>
    <numFmt numFmtId="184" formatCode="_-&quot;$&quot;\ * #,##0_-;\-&quot;$&quot;\ * #,##0_-;_-&quot;$&quot;\ * &quot;-&quot;??_-;_-@_-"/>
    <numFmt numFmtId="185" formatCode="_-&quot;$&quot;\ * #,##0.0_-;\-&quot;$&quot;\ * #,##0.0_-;_-&quot;$&quot;\ * &quot;-&quot;??_-;_-@_-"/>
    <numFmt numFmtId="186" formatCode="0.0%"/>
    <numFmt numFmtId="187" formatCode="_-* #,##0_-;\-* #,##0_-;_-* &quot;-&quot;??_-;_-@_-"/>
    <numFmt numFmtId="188" formatCode="_-* #,##0.0_-;\-* #,##0.0_-;_-* &quot;-&quot;??_-;_-@_-"/>
    <numFmt numFmtId="189" formatCode="_-* #,##0.0000_-;\-* #,##0.0000_-;_-* \-??_-;_-@_-"/>
    <numFmt numFmtId="190" formatCode="_-* #,##0.00_-;\-* #,##0.00_-;_-* \-??_-;_-@_-"/>
    <numFmt numFmtId="191" formatCode="&quot;$&quot;\ #,##0"/>
    <numFmt numFmtId="192" formatCode="0.0000"/>
    <numFmt numFmtId="193" formatCode="0.000%"/>
    <numFmt numFmtId="194" formatCode="#.##0\ &quot;hrs&quot;"/>
    <numFmt numFmtId="195" formatCode="#.##0\ &quot;meses&quot;"/>
    <numFmt numFmtId="196" formatCode="&quot;$&quot;#,##0;[Red]\-&quot;$&quot;#,##0"/>
  </numFmts>
  <fonts count="61">
    <font>
      <sz val="11"/>
      <color theme="1"/>
      <name val="Calibri"/>
      <family val="2"/>
      <scheme val="minor"/>
    </font>
    <font>
      <sz val="11"/>
      <color theme="1"/>
      <name val="Calibri"/>
      <family val="2"/>
      <scheme val="minor"/>
    </font>
    <font>
      <sz val="10"/>
      <name val="Arial Narrow"/>
      <family val="2"/>
    </font>
    <font>
      <b/>
      <sz val="10"/>
      <name val="Arial Narrow"/>
      <family val="2"/>
    </font>
    <font>
      <b/>
      <sz val="10"/>
      <color indexed="8"/>
      <name val="Arial Narrow"/>
      <family val="2"/>
    </font>
    <font>
      <b/>
      <sz val="10"/>
      <color theme="0"/>
      <name val="Arial Narrow"/>
      <family val="2"/>
    </font>
    <font>
      <b/>
      <sz val="10"/>
      <color theme="1"/>
      <name val="Arial Narrow"/>
      <family val="2"/>
    </font>
    <font>
      <sz val="10"/>
      <color theme="1"/>
      <name val="Arial Narrow"/>
      <family val="2"/>
    </font>
    <font>
      <sz val="10"/>
      <color indexed="8"/>
      <name val="Arial Narrow"/>
      <family val="2"/>
    </font>
    <font>
      <sz val="10"/>
      <color rgb="FFFF0000"/>
      <name val="Arial Narrow"/>
      <family val="2"/>
    </font>
    <font>
      <sz val="9"/>
      <name val="Arial Narrow"/>
      <family val="2"/>
    </font>
    <font>
      <u/>
      <sz val="11"/>
      <color theme="10"/>
      <name val="Calibri"/>
      <family val="2"/>
      <scheme val="minor"/>
    </font>
    <font>
      <sz val="11"/>
      <color indexed="8"/>
      <name val="Calibri"/>
      <family val="2"/>
    </font>
    <font>
      <sz val="10"/>
      <name val="Arial"/>
      <family val="2"/>
    </font>
    <font>
      <sz val="11"/>
      <color rgb="FF000000"/>
      <name val="Liberation Sans"/>
      <charset val="134"/>
    </font>
    <font>
      <sz val="12"/>
      <color rgb="FF000000"/>
      <name val="Arial"/>
      <family val="2"/>
    </font>
    <font>
      <sz val="10"/>
      <color rgb="FF000000"/>
      <name val="Times New Roman"/>
      <family val="1"/>
    </font>
    <font>
      <sz val="10"/>
      <name val="MS Sans Serif"/>
      <family val="2"/>
    </font>
    <font>
      <sz val="12"/>
      <color theme="1"/>
      <name val="Arial"/>
      <family val="2"/>
    </font>
    <font>
      <sz val="10"/>
      <name val="Times New Roman"/>
      <family val="1"/>
    </font>
    <font>
      <b/>
      <sz val="8"/>
      <name val="Arial"/>
      <family val="2"/>
    </font>
    <font>
      <sz val="8"/>
      <name val="Arial"/>
      <family val="2"/>
    </font>
    <font>
      <b/>
      <sz val="10"/>
      <name val="Arial"/>
      <family val="2"/>
    </font>
    <font>
      <sz val="11"/>
      <color rgb="FF000000"/>
      <name val="Calibri"/>
      <family val="2"/>
    </font>
    <font>
      <sz val="11"/>
      <name val="Calibri"/>
      <family val="2"/>
    </font>
    <font>
      <sz val="10"/>
      <color indexed="8"/>
      <name val="MS Sans Serif"/>
      <family val="2"/>
    </font>
    <font>
      <sz val="8"/>
      <name val="Calibri"/>
      <family val="2"/>
      <scheme val="minor"/>
    </font>
    <font>
      <sz val="8"/>
      <color theme="1"/>
      <name val="Arial Narrow"/>
      <family val="2"/>
    </font>
    <font>
      <sz val="11"/>
      <color theme="1"/>
      <name val="Calibri"/>
      <family val="2"/>
      <scheme val="minor"/>
    </font>
    <font>
      <sz val="10"/>
      <color indexed="10"/>
      <name val="Arial Narrow"/>
      <family val="2"/>
    </font>
    <font>
      <sz val="11"/>
      <color theme="1"/>
      <name val="Arial"/>
      <family val="2"/>
    </font>
    <font>
      <sz val="8"/>
      <color theme="1"/>
      <name val="Arial"/>
      <family val="2"/>
    </font>
    <font>
      <b/>
      <sz val="10"/>
      <color rgb="FFFF0000"/>
      <name val="Arial Narrow"/>
      <family val="2"/>
    </font>
    <font>
      <b/>
      <sz val="11"/>
      <name val="Arial Narrow"/>
      <family val="2"/>
    </font>
    <font>
      <sz val="10"/>
      <color rgb="FF0070C0"/>
      <name val="Arial Narrow"/>
      <family val="2"/>
    </font>
    <font>
      <b/>
      <sz val="16"/>
      <color theme="1"/>
      <name val="Arial Narrow"/>
      <family val="2"/>
    </font>
    <font>
      <sz val="11"/>
      <color theme="1"/>
      <name val="Arial Narrow"/>
      <family val="2"/>
    </font>
    <font>
      <sz val="12"/>
      <color theme="1"/>
      <name val="Arial Narrow"/>
      <family val="2"/>
    </font>
    <font>
      <b/>
      <sz val="11"/>
      <color theme="1"/>
      <name val="Arial Narrow"/>
      <family val="2"/>
    </font>
    <font>
      <sz val="12"/>
      <name val="Arial Narrow"/>
      <family val="2"/>
    </font>
    <font>
      <b/>
      <sz val="12"/>
      <name val="Arial Narrow"/>
      <family val="2"/>
    </font>
    <font>
      <b/>
      <sz val="9"/>
      <name val="Arial Narrow"/>
      <family val="2"/>
    </font>
    <font>
      <b/>
      <sz val="9"/>
      <color theme="1"/>
      <name val="Arial Narrow"/>
      <family val="2"/>
    </font>
    <font>
      <b/>
      <sz val="12"/>
      <color theme="1"/>
      <name val="Arial Narrow"/>
      <family val="2"/>
    </font>
    <font>
      <sz val="11"/>
      <name val="Arial Narrow"/>
      <family val="2"/>
    </font>
    <font>
      <b/>
      <u/>
      <sz val="10"/>
      <name val="Arial Narrow"/>
      <family val="2"/>
    </font>
    <font>
      <b/>
      <u/>
      <sz val="10"/>
      <color rgb="FFFF0000"/>
      <name val="Arial Narrow"/>
      <family val="2"/>
    </font>
    <font>
      <u val="singleAccounting"/>
      <sz val="10"/>
      <name val="Arial Narrow"/>
      <family val="2"/>
    </font>
    <font>
      <b/>
      <sz val="11"/>
      <color theme="1"/>
      <name val="Calibri"/>
      <family val="2"/>
      <scheme val="minor"/>
    </font>
    <font>
      <b/>
      <sz val="11"/>
      <color rgb="FFFF0000"/>
      <name val="Calibri"/>
      <family val="2"/>
      <scheme val="minor"/>
    </font>
    <font>
      <sz val="8"/>
      <color rgb="FF000000"/>
      <name val="Arial"/>
      <family val="2"/>
    </font>
    <font>
      <b/>
      <sz val="8"/>
      <color rgb="FF000000"/>
      <name val="Arial"/>
      <family val="2"/>
    </font>
    <font>
      <b/>
      <sz val="8"/>
      <color theme="0"/>
      <name val="Arial"/>
      <family val="2"/>
    </font>
    <font>
      <b/>
      <sz val="8"/>
      <color rgb="FFFFFFFF"/>
      <name val="Arial"/>
      <family val="2"/>
    </font>
    <font>
      <sz val="14"/>
      <color theme="0"/>
      <name val="Arial"/>
      <family val="2"/>
    </font>
    <font>
      <b/>
      <sz val="8"/>
      <color rgb="FFFF0000"/>
      <name val="Arial"/>
      <family val="2"/>
    </font>
    <font>
      <sz val="8"/>
      <color indexed="8"/>
      <name val="Arial"/>
      <family val="2"/>
    </font>
    <font>
      <b/>
      <sz val="10"/>
      <color rgb="FF000000"/>
      <name val="Arial"/>
      <family val="2"/>
    </font>
    <font>
      <sz val="10"/>
      <color rgb="FF000000"/>
      <name val="Arial"/>
      <family val="2"/>
    </font>
    <font>
      <b/>
      <sz val="12"/>
      <color theme="1"/>
      <name val="Calibri"/>
      <family val="2"/>
      <scheme val="minor"/>
    </font>
    <font>
      <b/>
      <u/>
      <sz val="11"/>
      <color rgb="FFFF0000"/>
      <name val="Calibri"/>
      <family val="2"/>
      <scheme val="minor"/>
    </font>
  </fonts>
  <fills count="34">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rgb="FFFFFF00"/>
        <bgColor indexed="64"/>
      </patternFill>
    </fill>
    <fill>
      <patternFill patternType="solid">
        <fgColor theme="2" tint="-9.9978637043366805E-2"/>
        <bgColor indexed="64"/>
      </patternFill>
    </fill>
    <fill>
      <patternFill patternType="solid">
        <fgColor indexed="9"/>
        <bgColor indexed="26"/>
      </patternFill>
    </fill>
    <fill>
      <patternFill patternType="solid">
        <fgColor rgb="FF00B0F0"/>
        <bgColor indexed="64"/>
      </patternFill>
    </fill>
    <fill>
      <patternFill patternType="solid">
        <fgColor theme="6" tint="0.39997558519241921"/>
        <bgColor indexed="64"/>
      </patternFill>
    </fill>
    <fill>
      <patternFill patternType="solid">
        <fgColor indexed="9"/>
        <bgColor indexed="64"/>
      </patternFill>
    </fill>
    <fill>
      <patternFill patternType="solid">
        <fgColor rgb="FF0070C0"/>
        <bgColor indexed="64"/>
      </patternFill>
    </fill>
    <fill>
      <patternFill patternType="solid">
        <fgColor rgb="FFE16B09"/>
        <bgColor indexed="64"/>
      </patternFill>
    </fill>
    <fill>
      <patternFill patternType="solid">
        <fgColor theme="9" tint="-0.249977111117893"/>
        <bgColor indexed="64"/>
      </patternFill>
    </fill>
    <fill>
      <patternFill patternType="solid">
        <fgColor rgb="FF30859B"/>
        <bgColor indexed="64"/>
      </patternFill>
    </fill>
    <fill>
      <patternFill patternType="solid">
        <fgColor theme="8" tint="-0.249977111117893"/>
        <bgColor indexed="64"/>
      </patternFill>
    </fill>
    <fill>
      <patternFill patternType="solid">
        <fgColor rgb="FF5F4879"/>
        <bgColor indexed="64"/>
      </patternFill>
    </fill>
    <fill>
      <patternFill patternType="solid">
        <fgColor theme="7" tint="-0.249977111117893"/>
        <bgColor indexed="64"/>
      </patternFill>
    </fill>
    <fill>
      <patternFill patternType="solid">
        <fgColor rgb="FF76923B"/>
        <bgColor indexed="64"/>
      </patternFill>
    </fill>
    <fill>
      <patternFill patternType="solid">
        <fgColor theme="6" tint="-0.249977111117893"/>
        <bgColor indexed="64"/>
      </patternFill>
    </fill>
    <fill>
      <patternFill patternType="solid">
        <fgColor theme="8" tint="0.59999389629810485"/>
        <bgColor indexed="64"/>
      </patternFill>
    </fill>
    <fill>
      <patternFill patternType="solid">
        <fgColor rgb="FFD9D9D9"/>
        <bgColor rgb="FFD9D9D9"/>
      </patternFill>
    </fill>
    <fill>
      <patternFill patternType="solid">
        <fgColor theme="5" tint="0.79998168889431442"/>
        <bgColor rgb="FFD9D9D9"/>
      </patternFill>
    </fill>
    <fill>
      <patternFill patternType="solid">
        <fgColor theme="5" tint="0.79998168889431442"/>
        <bgColor indexed="64"/>
      </patternFill>
    </fill>
    <fill>
      <patternFill patternType="solid">
        <fgColor rgb="FFD8D8D8"/>
        <bgColor rgb="FFD8D8D8"/>
      </patternFill>
    </fill>
    <fill>
      <patternFill patternType="solid">
        <fgColor theme="8" tint="0.39997558519241921"/>
        <bgColor indexed="64"/>
      </patternFill>
    </fill>
  </fills>
  <borders count="145">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medium">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auto="1"/>
      </right>
      <top style="medium">
        <color indexed="64"/>
      </top>
      <bottom style="double">
        <color indexed="64"/>
      </bottom>
      <diagonal/>
    </border>
    <border>
      <left style="thin">
        <color auto="1"/>
      </left>
      <right style="thin">
        <color auto="1"/>
      </right>
      <top style="medium">
        <color indexed="64"/>
      </top>
      <bottom style="double">
        <color indexed="64"/>
      </bottom>
      <diagonal/>
    </border>
    <border>
      <left style="thin">
        <color auto="1"/>
      </left>
      <right style="medium">
        <color indexed="64"/>
      </right>
      <top style="medium">
        <color indexed="64"/>
      </top>
      <bottom style="double">
        <color indexed="64"/>
      </bottom>
      <diagonal/>
    </border>
    <border>
      <left/>
      <right/>
      <top style="medium">
        <color indexed="64"/>
      </top>
      <bottom style="medium">
        <color indexed="64"/>
      </bottom>
      <diagonal/>
    </border>
    <border>
      <left/>
      <right/>
      <top style="medium">
        <color indexed="64"/>
      </top>
      <bottom/>
      <diagonal/>
    </border>
    <border>
      <left/>
      <right style="thin">
        <color auto="1"/>
      </right>
      <top style="medium">
        <color indexed="64"/>
      </top>
      <bottom style="double">
        <color indexed="64"/>
      </bottom>
      <diagonal/>
    </border>
    <border>
      <left style="thin">
        <color auto="1"/>
      </left>
      <right/>
      <top style="medium">
        <color indexed="64"/>
      </top>
      <bottom style="double">
        <color indexed="64"/>
      </bottom>
      <diagonal/>
    </border>
    <border>
      <left style="medium">
        <color indexed="64"/>
      </left>
      <right style="medium">
        <color indexed="64"/>
      </right>
      <top/>
      <bottom/>
      <diagonal/>
    </border>
    <border>
      <left/>
      <right style="thin">
        <color auto="1"/>
      </right>
      <top/>
      <bottom/>
      <diagonal/>
    </border>
    <border>
      <left style="thin">
        <color auto="1"/>
      </left>
      <right style="thin">
        <color auto="1"/>
      </right>
      <top/>
      <bottom/>
      <diagonal/>
    </border>
    <border>
      <left style="medium">
        <color indexed="64"/>
      </left>
      <right style="medium">
        <color indexed="64"/>
      </right>
      <top style="thin">
        <color indexed="64"/>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right style="medium">
        <color indexed="64"/>
      </right>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auto="1"/>
      </left>
      <right style="medium">
        <color indexed="64"/>
      </right>
      <top/>
      <bottom style="medium">
        <color indexed="64"/>
      </bottom>
      <diagonal/>
    </border>
    <border>
      <left style="medium">
        <color indexed="64"/>
      </left>
      <right style="medium">
        <color indexed="64"/>
      </right>
      <top style="medium">
        <color indexed="64"/>
      </top>
      <bottom style="double">
        <color indexed="64"/>
      </bottom>
      <diagonal/>
    </border>
    <border>
      <left/>
      <right style="thin">
        <color auto="1"/>
      </right>
      <top/>
      <bottom style="thin">
        <color auto="1"/>
      </bottom>
      <diagonal/>
    </border>
    <border>
      <left style="medium">
        <color indexed="64"/>
      </left>
      <right style="medium">
        <color indexed="64"/>
      </right>
      <top/>
      <bottom style="thin">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rgb="FF000000"/>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indexed="64"/>
      </top>
      <bottom style="medium">
        <color indexed="64"/>
      </bottom>
      <diagonal/>
    </border>
    <border>
      <left/>
      <right/>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indexed="64"/>
      </left>
      <right/>
      <top style="thin">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auto="1"/>
      </left>
      <right style="thin">
        <color auto="1"/>
      </right>
      <top style="double">
        <color indexed="64"/>
      </top>
      <bottom style="thin">
        <color auto="1"/>
      </bottom>
      <diagonal/>
    </border>
    <border>
      <left style="thin">
        <color indexed="64"/>
      </left>
      <right style="medium">
        <color indexed="64"/>
      </right>
      <top style="double">
        <color indexed="64"/>
      </top>
      <bottom style="thin">
        <color indexed="64"/>
      </bottom>
      <diagonal/>
    </border>
    <border>
      <left/>
      <right style="thin">
        <color rgb="FF000000"/>
      </right>
      <top/>
      <bottom style="thin">
        <color rgb="FF000000"/>
      </bottom>
      <diagonal/>
    </border>
    <border>
      <left style="thin">
        <color rgb="FF000000"/>
      </left>
      <right style="medium">
        <color indexed="64"/>
      </right>
      <top/>
      <bottom style="thin">
        <color rgb="FF000000"/>
      </bottom>
      <diagonal/>
    </border>
    <border>
      <left/>
      <right/>
      <top/>
      <bottom style="thin">
        <color auto="1"/>
      </bottom>
      <diagonal/>
    </border>
    <border>
      <left style="medium">
        <color indexed="64"/>
      </left>
      <right style="medium">
        <color indexed="64"/>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auto="1"/>
      </left>
      <right/>
      <top/>
      <bottom/>
      <diagonal/>
    </border>
    <border>
      <left style="medium">
        <color auto="1"/>
      </left>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style="medium">
        <color indexed="64"/>
      </right>
      <top/>
      <bottom style="double">
        <color indexed="64"/>
      </bottom>
      <diagonal/>
    </border>
    <border>
      <left style="medium">
        <color indexed="64"/>
      </left>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style="double">
        <color indexed="64"/>
      </top>
      <bottom style="thin">
        <color indexed="64"/>
      </bottom>
      <diagonal/>
    </border>
    <border>
      <left/>
      <right style="medium">
        <color indexed="64"/>
      </right>
      <top style="thin">
        <color auto="1"/>
      </top>
      <bottom style="thin">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rgb="FF000000"/>
      </left>
      <right style="thin">
        <color rgb="FF000000"/>
      </right>
      <top/>
      <bottom style="medium">
        <color indexed="64"/>
      </bottom>
      <diagonal/>
    </border>
    <border>
      <left style="medium">
        <color auto="1"/>
      </left>
      <right/>
      <top/>
      <bottom style="double">
        <color indexed="64"/>
      </bottom>
      <diagonal/>
    </border>
    <border>
      <left/>
      <right/>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thin">
        <color auto="1"/>
      </left>
      <right/>
      <top style="thin">
        <color auto="1"/>
      </top>
      <bottom style="double">
        <color indexed="64"/>
      </bottom>
      <diagonal/>
    </border>
    <border>
      <left/>
      <right style="thin">
        <color auto="1"/>
      </right>
      <top style="thin">
        <color auto="1"/>
      </top>
      <bottom style="double">
        <color indexed="64"/>
      </bottom>
      <diagonal/>
    </border>
    <border>
      <left style="thin">
        <color auto="1"/>
      </left>
      <right style="thin">
        <color auto="1"/>
      </right>
      <top/>
      <bottom style="double">
        <color indexed="64"/>
      </bottom>
      <diagonal/>
    </border>
    <border>
      <left style="thin">
        <color auto="1"/>
      </left>
      <right style="thin">
        <color auto="1"/>
      </right>
      <top style="thin">
        <color rgb="FF000000"/>
      </top>
      <bottom style="thin">
        <color indexed="64"/>
      </bottom>
      <diagonal/>
    </border>
    <border>
      <left/>
      <right/>
      <top style="thin">
        <color auto="1"/>
      </top>
      <bottom/>
      <diagonal/>
    </border>
    <border>
      <left style="thin">
        <color indexed="64"/>
      </left>
      <right/>
      <top/>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bottom style="double">
        <color indexed="64"/>
      </bottom>
      <diagonal/>
    </border>
    <border>
      <left style="thin">
        <color auto="1"/>
      </left>
      <right style="thin">
        <color indexed="64"/>
      </right>
      <top style="double">
        <color indexed="64"/>
      </top>
      <bottom/>
      <diagonal/>
    </border>
    <border>
      <left style="medium">
        <color indexed="64"/>
      </left>
      <right style="thin">
        <color indexed="64"/>
      </right>
      <top style="double">
        <color indexed="64"/>
      </top>
      <bottom/>
      <diagonal/>
    </border>
    <border>
      <left style="thin">
        <color auto="1"/>
      </left>
      <right style="thin">
        <color auto="1"/>
      </right>
      <top style="double">
        <color indexed="64"/>
      </top>
      <bottom style="medium">
        <color indexed="64"/>
      </bottom>
      <diagonal/>
    </border>
    <border>
      <left style="medium">
        <color indexed="64"/>
      </left>
      <right style="medium">
        <color indexed="64"/>
      </right>
      <top style="medium">
        <color indexed="64"/>
      </top>
      <bottom style="thin">
        <color auto="1"/>
      </bottom>
      <diagonal/>
    </border>
    <border>
      <left/>
      <right style="medium">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double">
        <color indexed="64"/>
      </top>
      <bottom style="medium">
        <color indexed="64"/>
      </bottom>
      <diagonal/>
    </border>
    <border>
      <left style="medium">
        <color indexed="64"/>
      </left>
      <right style="medium">
        <color indexed="64"/>
      </right>
      <top style="double">
        <color indexed="64"/>
      </top>
      <bottom/>
      <diagonal/>
    </border>
    <border>
      <left style="thin">
        <color indexed="64"/>
      </left>
      <right/>
      <top style="double">
        <color indexed="64"/>
      </top>
      <bottom/>
      <diagonal/>
    </border>
    <border>
      <left style="thin">
        <color indexed="64"/>
      </left>
      <right style="medium">
        <color indexed="64"/>
      </right>
      <top style="double">
        <color indexed="64"/>
      </top>
      <bottom/>
      <diagonal/>
    </border>
    <border>
      <left/>
      <right style="thin">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auto="1"/>
      </right>
      <top style="double">
        <color indexed="64"/>
      </top>
      <bottom style="medium">
        <color indexed="64"/>
      </bottom>
      <diagonal/>
    </border>
    <border>
      <left style="thin">
        <color auto="1"/>
      </left>
      <right/>
      <top style="medium">
        <color indexed="64"/>
      </top>
      <bottom style="thin">
        <color auto="1"/>
      </bottom>
      <diagonal/>
    </border>
    <border>
      <left/>
      <right style="thin">
        <color auto="1"/>
      </right>
      <top style="double">
        <color indexed="64"/>
      </top>
      <bottom style="thin">
        <color indexed="64"/>
      </bottom>
      <diagonal/>
    </border>
    <border>
      <left style="thin">
        <color auto="1"/>
      </left>
      <right style="thin">
        <color auto="1"/>
      </right>
      <top style="medium">
        <color indexed="64"/>
      </top>
      <bottom/>
      <diagonal/>
    </border>
    <border>
      <left style="thin">
        <color auto="1"/>
      </left>
      <right/>
      <top style="medium">
        <color indexed="64"/>
      </top>
      <bottom/>
      <diagonal/>
    </border>
    <border>
      <left style="thin">
        <color auto="1"/>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bottom/>
      <diagonal/>
    </border>
    <border>
      <left/>
      <right style="thin">
        <color rgb="FF000000"/>
      </right>
      <top style="thin">
        <color indexed="64"/>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79">
    <xf numFmtId="0" fontId="0" fillId="0" borderId="0"/>
    <xf numFmtId="9"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xf numFmtId="0" fontId="11" fillId="0" borderId="0" applyNumberFormat="0" applyFill="0" applyBorder="0" applyAlignment="0" applyProtection="0"/>
    <xf numFmtId="0" fontId="12" fillId="0" borderId="0"/>
    <xf numFmtId="0" fontId="12" fillId="0" borderId="0"/>
    <xf numFmtId="168" fontId="13" fillId="0" borderId="0" applyFont="0" applyFill="0" applyBorder="0" applyAlignment="0" applyProtection="0"/>
    <xf numFmtId="0" fontId="13" fillId="0" borderId="0"/>
    <xf numFmtId="0" fontId="13" fillId="0" borderId="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69" fontId="12" fillId="0" borderId="0" applyFont="0" applyFill="0" applyBorder="0" applyAlignment="0" applyProtection="0"/>
    <xf numFmtId="170" fontId="13" fillId="0" borderId="0" applyFont="0" applyFill="0" applyBorder="0" applyAlignment="0" applyProtection="0"/>
    <xf numFmtId="171" fontId="13" fillId="0" borderId="0" applyFont="0" applyFill="0" applyBorder="0" applyAlignment="0" applyProtection="0"/>
    <xf numFmtId="172" fontId="1"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43" fontId="12"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42" fontId="14" fillId="0" borderId="0" applyFont="0" applyFill="0" applyBorder="0" applyAlignment="0" applyProtection="0"/>
    <xf numFmtId="42" fontId="7" fillId="0" borderId="0" applyFont="0" applyFill="0" applyBorder="0" applyAlignment="0" applyProtection="0"/>
    <xf numFmtId="42" fontId="1" fillId="0" borderId="0" applyFont="0" applyFill="0" applyBorder="0" applyAlignment="0" applyProtection="0"/>
    <xf numFmtId="173" fontId="1" fillId="0" borderId="0" applyFont="0" applyFill="0" applyBorder="0" applyAlignment="0" applyProtection="0"/>
    <xf numFmtId="164" fontId="15"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165" fontId="1"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165" fontId="12" fillId="0" borderId="0" applyFont="0" applyFill="0" applyBorder="0" applyAlignment="0" applyProtection="0"/>
    <xf numFmtId="165" fontId="1"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76" fontId="13"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0" fontId="13" fillId="0" borderId="0"/>
    <xf numFmtId="0" fontId="13" fillId="0" borderId="0"/>
    <xf numFmtId="0" fontId="1" fillId="0" borderId="0"/>
    <xf numFmtId="0" fontId="16" fillId="0" borderId="0"/>
    <xf numFmtId="0" fontId="13" fillId="0" borderId="0"/>
    <xf numFmtId="0" fontId="17" fillId="0" borderId="0"/>
    <xf numFmtId="0" fontId="13" fillId="0" borderId="0"/>
    <xf numFmtId="0" fontId="14" fillId="0" borderId="0"/>
    <xf numFmtId="0" fontId="13" fillId="0" borderId="0"/>
    <xf numFmtId="0" fontId="13" fillId="0" borderId="0"/>
    <xf numFmtId="0" fontId="14" fillId="0" borderId="0"/>
    <xf numFmtId="0" fontId="13" fillId="0" borderId="0"/>
    <xf numFmtId="0" fontId="15" fillId="0" borderId="0"/>
    <xf numFmtId="0" fontId="18" fillId="0" borderId="0"/>
    <xf numFmtId="0" fontId="13" fillId="0" borderId="0"/>
    <xf numFmtId="0" fontId="19" fillId="0" borderId="0"/>
    <xf numFmtId="0" fontId="7" fillId="0" borderId="0"/>
    <xf numFmtId="0" fontId="1" fillId="0" borderId="0"/>
    <xf numFmtId="0" fontId="1" fillId="0" borderId="0"/>
    <xf numFmtId="0" fontId="1" fillId="0" borderId="0"/>
    <xf numFmtId="0" fontId="1" fillId="0" borderId="0"/>
    <xf numFmtId="0" fontId="7" fillId="0" borderId="0"/>
    <xf numFmtId="0" fontId="13" fillId="0" borderId="0"/>
    <xf numFmtId="0" fontId="1" fillId="0" borderId="0"/>
    <xf numFmtId="9" fontId="15" fillId="0" borderId="0" applyFont="0" applyFill="0" applyBorder="0" applyAlignment="0" applyProtection="0"/>
    <xf numFmtId="9" fontId="1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180" fontId="13" fillId="0" borderId="0" applyFont="0" applyFill="0" applyBorder="0" applyAlignment="0" applyProtection="0"/>
    <xf numFmtId="9" fontId="13" fillId="0" borderId="0" applyFont="0" applyFill="0" applyBorder="0" applyAlignment="0" applyProtection="0"/>
    <xf numFmtId="0" fontId="13" fillId="0" borderId="0">
      <alignment horizontal="center"/>
    </xf>
    <xf numFmtId="0" fontId="13" fillId="0" borderId="0">
      <alignment horizontal="center"/>
    </xf>
    <xf numFmtId="182" fontId="13" fillId="0" borderId="0" applyFont="0" applyFill="0" applyBorder="0" applyAlignment="0" applyProtection="0"/>
    <xf numFmtId="0" fontId="12" fillId="0" borderId="0"/>
    <xf numFmtId="0" fontId="12" fillId="0" borderId="0"/>
    <xf numFmtId="0" fontId="12" fillId="0" borderId="0"/>
    <xf numFmtId="16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2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172" fontId="13" fillId="0" borderId="0" applyFont="0" applyFill="0" applyBorder="0" applyAlignment="0" applyProtection="0"/>
    <xf numFmtId="164" fontId="13" fillId="0" borderId="0" applyFont="0" applyFill="0" applyBorder="0" applyAlignment="0" applyProtection="0"/>
    <xf numFmtId="165" fontId="13" fillId="0" borderId="0" applyFont="0" applyFill="0" applyBorder="0" applyAlignment="0" applyProtection="0"/>
    <xf numFmtId="176" fontId="12" fillId="0" borderId="0" applyFont="0" applyFill="0" applyBorder="0" applyAlignment="0" applyProtection="0"/>
    <xf numFmtId="0" fontId="13" fillId="0" borderId="0"/>
    <xf numFmtId="0" fontId="1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13" fillId="0" borderId="0"/>
    <xf numFmtId="0" fontId="13" fillId="0" borderId="0"/>
    <xf numFmtId="0" fontId="25" fillId="0" borderId="0"/>
    <xf numFmtId="0" fontId="1" fillId="0" borderId="0"/>
    <xf numFmtId="0" fontId="1" fillId="0" borderId="0"/>
    <xf numFmtId="0" fontId="25" fillId="0" borderId="0"/>
    <xf numFmtId="0" fontId="25" fillId="0" borderId="0"/>
    <xf numFmtId="0" fontId="12" fillId="0" borderId="0"/>
    <xf numFmtId="0" fontId="13" fillId="0" borderId="0"/>
    <xf numFmtId="0" fontId="23" fillId="2" borderId="1" applyNumberFormat="0" applyFont="0" applyAlignment="0" applyProtection="0"/>
    <xf numFmtId="9" fontId="12" fillId="0" borderId="0" applyFill="0" applyBorder="0" applyAlignment="0" applyProtection="0"/>
    <xf numFmtId="9" fontId="13" fillId="0" borderId="0" applyFont="0" applyFill="0" applyBorder="0" applyAlignment="0" applyProtection="0"/>
    <xf numFmtId="9" fontId="1"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2" fontId="1" fillId="0" borderId="0" applyFont="0" applyFill="0" applyBorder="0" applyAlignment="0" applyProtection="0"/>
    <xf numFmtId="0" fontId="13"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3" fillId="0" borderId="0"/>
    <xf numFmtId="44" fontId="1" fillId="0" borderId="0" applyFont="0" applyFill="0" applyBorder="0" applyAlignment="0" applyProtection="0"/>
    <xf numFmtId="9" fontId="13" fillId="0" borderId="0" applyFont="0" applyFill="0" applyBorder="0" applyAlignment="0" applyProtection="0"/>
    <xf numFmtId="9" fontId="28" fillId="0" borderId="0" applyFont="0" applyFill="0" applyBorder="0" applyAlignment="0" applyProtection="0"/>
    <xf numFmtId="41" fontId="1" fillId="0" borderId="0" applyFont="0" applyFill="0" applyBorder="0" applyAlignment="0" applyProtection="0"/>
    <xf numFmtId="0" fontId="1" fillId="0" borderId="0"/>
    <xf numFmtId="0" fontId="1" fillId="0" borderId="0"/>
    <xf numFmtId="0" fontId="1" fillId="0" borderId="0"/>
    <xf numFmtId="0" fontId="30" fillId="0" borderId="0"/>
    <xf numFmtId="0" fontId="13" fillId="0" borderId="0"/>
    <xf numFmtId="0" fontId="1" fillId="0" borderId="0"/>
    <xf numFmtId="171" fontId="13"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4" fillId="0" borderId="0" applyFont="0" applyFill="0" applyBorder="0" applyAlignment="0" applyProtection="0"/>
    <xf numFmtId="42" fontId="7"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2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529">
    <xf numFmtId="0" fontId="0" fillId="0" borderId="0" xfId="0"/>
    <xf numFmtId="0" fontId="2" fillId="3" borderId="0" xfId="2" applyFont="1" applyFill="1" applyAlignment="1">
      <alignment horizontal="center" vertical="center" wrapText="1"/>
    </xf>
    <xf numFmtId="164" fontId="2" fillId="3" borderId="0" xfId="2" applyNumberFormat="1" applyFont="1" applyFill="1" applyAlignment="1">
      <alignment horizontal="center" vertical="center" wrapText="1"/>
    </xf>
    <xf numFmtId="164" fontId="2" fillId="3" borderId="0" xfId="2" applyNumberFormat="1" applyFont="1" applyFill="1" applyAlignment="1">
      <alignment horizontal="center" vertical="center"/>
    </xf>
    <xf numFmtId="0" fontId="2" fillId="3" borderId="0" xfId="2" applyFont="1" applyFill="1" applyAlignment="1">
      <alignment horizontal="center" vertical="center"/>
    </xf>
    <xf numFmtId="0" fontId="2" fillId="0" borderId="6" xfId="2" applyFont="1" applyBorder="1" applyAlignment="1">
      <alignment horizontal="center" vertical="center" wrapText="1"/>
    </xf>
    <xf numFmtId="0" fontId="3" fillId="0" borderId="15" xfId="2" applyFont="1" applyBorder="1" applyAlignment="1">
      <alignment horizontal="center" vertical="center" wrapText="1"/>
    </xf>
    <xf numFmtId="0" fontId="2" fillId="0" borderId="15" xfId="2" applyFont="1" applyBorder="1" applyAlignment="1">
      <alignment horizontal="center" vertical="center" wrapText="1"/>
    </xf>
    <xf numFmtId="0" fontId="2" fillId="0" borderId="16" xfId="2" applyFont="1" applyBorder="1" applyAlignment="1">
      <alignment horizontal="center" vertical="center" wrapText="1"/>
    </xf>
    <xf numFmtId="0" fontId="2" fillId="0" borderId="0" xfId="2" applyFont="1" applyAlignment="1">
      <alignment horizontal="center" vertical="center"/>
    </xf>
    <xf numFmtId="0" fontId="3" fillId="3" borderId="0" xfId="2" applyFont="1" applyFill="1" applyAlignment="1">
      <alignment horizontal="center" vertical="center" wrapText="1"/>
    </xf>
    <xf numFmtId="164" fontId="3" fillId="3" borderId="0" xfId="2" applyNumberFormat="1" applyFont="1" applyFill="1" applyAlignment="1">
      <alignment horizontal="center" vertical="center" wrapText="1"/>
    </xf>
    <xf numFmtId="0" fontId="3" fillId="0" borderId="14" xfId="2" applyFont="1" applyBorder="1" applyAlignment="1">
      <alignment horizontal="center" vertical="center"/>
    </xf>
    <xf numFmtId="0" fontId="3" fillId="3" borderId="15" xfId="2" applyFont="1" applyFill="1" applyBorder="1" applyAlignment="1">
      <alignment horizontal="center" vertical="center" wrapText="1"/>
    </xf>
    <xf numFmtId="164" fontId="3" fillId="3" borderId="15" xfId="2" applyNumberFormat="1" applyFont="1" applyFill="1" applyBorder="1" applyAlignment="1">
      <alignment horizontal="center" vertical="center" wrapText="1"/>
    </xf>
    <xf numFmtId="0" fontId="3" fillId="3" borderId="16" xfId="2" applyFont="1" applyFill="1" applyBorder="1" applyAlignment="1">
      <alignment horizontal="center" vertical="center" wrapText="1"/>
    </xf>
    <xf numFmtId="0" fontId="2" fillId="0" borderId="21" xfId="2" applyFont="1" applyBorder="1" applyAlignment="1">
      <alignment horizontal="center" vertical="center"/>
    </xf>
    <xf numFmtId="0" fontId="3" fillId="3" borderId="21" xfId="2" applyFont="1" applyFill="1" applyBorder="1" applyAlignment="1">
      <alignment horizontal="center" vertical="center" wrapText="1"/>
    </xf>
    <xf numFmtId="164" fontId="3" fillId="3" borderId="21" xfId="2" applyNumberFormat="1" applyFont="1" applyFill="1" applyBorder="1" applyAlignment="1">
      <alignment horizontal="center" vertical="center" wrapText="1"/>
    </xf>
    <xf numFmtId="0" fontId="3" fillId="0" borderId="0" xfId="2" applyFont="1" applyAlignment="1">
      <alignment horizontal="center" vertical="center"/>
    </xf>
    <xf numFmtId="0" fontId="5" fillId="7" borderId="17" xfId="2" applyFont="1" applyFill="1" applyBorder="1" applyAlignment="1">
      <alignment horizontal="center" vertical="center" wrapText="1"/>
    </xf>
    <xf numFmtId="0" fontId="5" fillId="7" borderId="22" xfId="2" applyFont="1" applyFill="1" applyBorder="1" applyAlignment="1">
      <alignment horizontal="center" vertical="center" wrapText="1"/>
    </xf>
    <xf numFmtId="0" fontId="5" fillId="8" borderId="18" xfId="2" applyFont="1" applyFill="1" applyBorder="1" applyAlignment="1">
      <alignment horizontal="center" vertical="center" wrapText="1"/>
    </xf>
    <xf numFmtId="164" fontId="5" fillId="8" borderId="18" xfId="2" applyNumberFormat="1" applyFont="1" applyFill="1" applyBorder="1" applyAlignment="1">
      <alignment horizontal="center" vertical="center" wrapText="1"/>
    </xf>
    <xf numFmtId="0" fontId="5" fillId="8" borderId="23" xfId="2" applyFont="1" applyFill="1" applyBorder="1" applyAlignment="1">
      <alignment horizontal="center" vertical="center" wrapText="1"/>
    </xf>
    <xf numFmtId="0" fontId="5" fillId="7" borderId="19" xfId="2" applyFont="1" applyFill="1" applyBorder="1" applyAlignment="1">
      <alignment horizontal="center" vertical="center" wrapText="1"/>
    </xf>
    <xf numFmtId="0" fontId="6" fillId="6" borderId="24" xfId="2" applyFont="1" applyFill="1" applyBorder="1" applyAlignment="1">
      <alignment horizontal="center" vertical="center" wrapText="1"/>
    </xf>
    <xf numFmtId="0" fontId="6" fillId="6" borderId="25" xfId="2" applyFont="1" applyFill="1" applyBorder="1" applyAlignment="1">
      <alignment horizontal="center" vertical="center" wrapText="1"/>
    </xf>
    <xf numFmtId="164" fontId="6" fillId="6" borderId="26" xfId="2" applyNumberFormat="1" applyFont="1" applyFill="1" applyBorder="1" applyAlignment="1">
      <alignment horizontal="center" vertical="center" wrapText="1"/>
    </xf>
    <xf numFmtId="0" fontId="6" fillId="6" borderId="13" xfId="2" applyFont="1" applyFill="1" applyBorder="1" applyAlignment="1">
      <alignment horizontal="center" vertical="center" wrapText="1"/>
    </xf>
    <xf numFmtId="0" fontId="2" fillId="0" borderId="29" xfId="2" applyFont="1" applyBorder="1" applyAlignment="1">
      <alignment horizontal="center" vertical="center" wrapText="1"/>
    </xf>
    <xf numFmtId="0" fontId="2" fillId="0" borderId="7" xfId="3" applyNumberFormat="1" applyFont="1" applyFill="1" applyBorder="1" applyAlignment="1" applyProtection="1">
      <alignment vertical="center"/>
    </xf>
    <xf numFmtId="0" fontId="2" fillId="0" borderId="13" xfId="3" applyNumberFormat="1" applyFont="1" applyFill="1" applyBorder="1" applyAlignment="1" applyProtection="1">
      <alignment vertical="center"/>
    </xf>
    <xf numFmtId="0" fontId="6" fillId="6" borderId="6" xfId="2" applyFont="1" applyFill="1" applyBorder="1" applyAlignment="1">
      <alignment horizontal="center" vertical="center" wrapText="1"/>
    </xf>
    <xf numFmtId="164" fontId="6" fillId="6" borderId="6" xfId="2" applyNumberFormat="1" applyFont="1" applyFill="1" applyBorder="1" applyAlignment="1">
      <alignment horizontal="center" vertical="center" wrapText="1"/>
    </xf>
    <xf numFmtId="0" fontId="6" fillId="6" borderId="7" xfId="2" applyFont="1" applyFill="1" applyBorder="1" applyAlignment="1">
      <alignment horizontal="center" vertical="center" wrapText="1"/>
    </xf>
    <xf numFmtId="164" fontId="2" fillId="3" borderId="0" xfId="3" applyFont="1" applyFill="1" applyBorder="1" applyAlignment="1" applyProtection="1">
      <alignment horizontal="center" vertical="center"/>
    </xf>
    <xf numFmtId="0" fontId="2" fillId="9" borderId="31" xfId="2" quotePrefix="1" applyFont="1" applyFill="1" applyBorder="1" applyAlignment="1">
      <alignment horizontal="center" vertical="center" wrapText="1"/>
    </xf>
    <xf numFmtId="164" fontId="2" fillId="3" borderId="0" xfId="3" applyFont="1" applyFill="1" applyBorder="1" applyAlignment="1" applyProtection="1">
      <alignment horizontal="center" vertical="center" wrapText="1"/>
    </xf>
    <xf numFmtId="0" fontId="7" fillId="9" borderId="31" xfId="2" quotePrefix="1" applyFont="1" applyFill="1" applyBorder="1" applyAlignment="1">
      <alignment horizontal="center" vertical="center" wrapText="1"/>
    </xf>
    <xf numFmtId="0" fontId="2" fillId="3" borderId="7" xfId="2" applyFont="1" applyFill="1" applyBorder="1" applyAlignment="1">
      <alignment horizontal="center" vertical="center"/>
    </xf>
    <xf numFmtId="0" fontId="7" fillId="9" borderId="34" xfId="2" quotePrefix="1" applyFont="1" applyFill="1" applyBorder="1" applyAlignment="1">
      <alignment horizontal="center" vertical="center" wrapText="1"/>
    </xf>
    <xf numFmtId="0" fontId="3" fillId="0" borderId="36" xfId="2" applyFont="1" applyBorder="1" applyAlignment="1">
      <alignment horizontal="center" vertical="center"/>
    </xf>
    <xf numFmtId="0" fontId="9" fillId="3" borderId="0" xfId="2" applyFont="1" applyFill="1" applyAlignment="1">
      <alignment horizontal="center" vertical="center" wrapText="1"/>
    </xf>
    <xf numFmtId="164" fontId="9" fillId="3" borderId="0" xfId="3" applyFont="1" applyFill="1" applyBorder="1" applyAlignment="1" applyProtection="1">
      <alignment horizontal="center" vertical="center" wrapText="1"/>
    </xf>
    <xf numFmtId="10" fontId="6" fillId="8" borderId="38" xfId="1" applyNumberFormat="1" applyFont="1" applyFill="1" applyBorder="1" applyAlignment="1" applyProtection="1">
      <alignment horizontal="center" vertical="center"/>
    </xf>
    <xf numFmtId="164" fontId="6" fillId="3" borderId="0" xfId="3" applyFont="1" applyFill="1" applyBorder="1" applyAlignment="1" applyProtection="1">
      <alignment horizontal="center" vertical="center"/>
    </xf>
    <xf numFmtId="0" fontId="6" fillId="6" borderId="30" xfId="2" applyFont="1" applyFill="1" applyBorder="1" applyAlignment="1">
      <alignment horizontal="center" vertical="center" wrapText="1"/>
    </xf>
    <xf numFmtId="0" fontId="5" fillId="7" borderId="39" xfId="2" applyFont="1" applyFill="1" applyBorder="1" applyAlignment="1">
      <alignment horizontal="center" vertical="center" wrapText="1"/>
    </xf>
    <xf numFmtId="164" fontId="3" fillId="3" borderId="0" xfId="3" applyFont="1" applyFill="1" applyBorder="1" applyAlignment="1" applyProtection="1">
      <alignment horizontal="center" vertical="center" wrapText="1"/>
    </xf>
    <xf numFmtId="0" fontId="6" fillId="6" borderId="40" xfId="2" applyFont="1" applyFill="1" applyBorder="1" applyAlignment="1">
      <alignment horizontal="center" vertical="center" wrapText="1"/>
    </xf>
    <xf numFmtId="0" fontId="6" fillId="6" borderId="12" xfId="2" applyFont="1" applyFill="1" applyBorder="1" applyAlignment="1">
      <alignment horizontal="center" vertical="center" wrapText="1"/>
    </xf>
    <xf numFmtId="164" fontId="6" fillId="6" borderId="12" xfId="2" applyNumberFormat="1" applyFont="1" applyFill="1" applyBorder="1" applyAlignment="1">
      <alignment horizontal="center" vertical="center" wrapText="1"/>
    </xf>
    <xf numFmtId="0" fontId="8" fillId="0" borderId="6" xfId="2" applyFont="1" applyBorder="1" applyAlignment="1">
      <alignment horizontal="center" vertical="center" wrapText="1" shrinkToFit="1"/>
    </xf>
    <xf numFmtId="164" fontId="10" fillId="0" borderId="7" xfId="3" applyFont="1" applyFill="1" applyBorder="1" applyAlignment="1" applyProtection="1">
      <alignment horizontal="center" vertical="center"/>
    </xf>
    <xf numFmtId="0" fontId="2" fillId="9" borderId="34" xfId="2" quotePrefix="1" applyFont="1" applyFill="1" applyBorder="1" applyAlignment="1">
      <alignment horizontal="center" vertical="center" wrapText="1"/>
    </xf>
    <xf numFmtId="164" fontId="10" fillId="0" borderId="16" xfId="3" applyFont="1" applyFill="1" applyBorder="1" applyAlignment="1" applyProtection="1">
      <alignment horizontal="center" vertical="center"/>
    </xf>
    <xf numFmtId="9" fontId="6" fillId="0" borderId="0" xfId="1" applyFont="1" applyFill="1" applyBorder="1" applyAlignment="1" applyProtection="1">
      <alignment horizontal="center" vertical="center"/>
    </xf>
    <xf numFmtId="0" fontId="6" fillId="6" borderId="41" xfId="2" applyFont="1" applyFill="1" applyBorder="1" applyAlignment="1">
      <alignment horizontal="center" vertical="center" wrapText="1"/>
    </xf>
    <xf numFmtId="0" fontId="3" fillId="6" borderId="12" xfId="2" applyFont="1" applyFill="1" applyBorder="1" applyAlignment="1">
      <alignment horizontal="center" vertical="center" wrapText="1"/>
    </xf>
    <xf numFmtId="0" fontId="8" fillId="3" borderId="6" xfId="2" applyFont="1" applyFill="1" applyBorder="1" applyAlignment="1">
      <alignment horizontal="center" vertical="center" wrapText="1" shrinkToFit="1"/>
    </xf>
    <xf numFmtId="164" fontId="9" fillId="0" borderId="0" xfId="3" applyFont="1" applyFill="1" applyBorder="1" applyAlignment="1" applyProtection="1">
      <alignment horizontal="center" vertical="center" wrapText="1"/>
    </xf>
    <xf numFmtId="0" fontId="2" fillId="3" borderId="6" xfId="2" quotePrefix="1" applyFont="1" applyFill="1" applyBorder="1" applyAlignment="1">
      <alignment horizontal="center" vertical="center" wrapText="1"/>
    </xf>
    <xf numFmtId="164" fontId="2" fillId="3" borderId="7" xfId="3" applyFont="1" applyFill="1" applyBorder="1" applyAlignment="1" applyProtection="1">
      <alignment horizontal="center" vertical="center" wrapText="1"/>
    </xf>
    <xf numFmtId="0" fontId="2" fillId="3" borderId="15" xfId="2" quotePrefix="1" applyFont="1" applyFill="1" applyBorder="1" applyAlignment="1">
      <alignment horizontal="center" vertical="center" wrapText="1"/>
    </xf>
    <xf numFmtId="0" fontId="8" fillId="3" borderId="0" xfId="2" applyFont="1" applyFill="1" applyAlignment="1">
      <alignment horizontal="center" vertical="center"/>
    </xf>
    <xf numFmtId="0" fontId="4" fillId="6" borderId="40" xfId="2" quotePrefix="1" applyFont="1" applyFill="1" applyBorder="1" applyAlignment="1">
      <alignment horizontal="center" vertical="center"/>
    </xf>
    <xf numFmtId="0" fontId="4" fillId="6" borderId="12" xfId="2" quotePrefix="1" applyFont="1" applyFill="1" applyBorder="1" applyAlignment="1">
      <alignment horizontal="center" vertical="center"/>
    </xf>
    <xf numFmtId="164" fontId="4" fillId="6" borderId="12" xfId="2" quotePrefix="1" applyNumberFormat="1" applyFont="1" applyFill="1" applyBorder="1" applyAlignment="1">
      <alignment horizontal="center" vertical="center"/>
    </xf>
    <xf numFmtId="166" fontId="4" fillId="6" borderId="13" xfId="2" quotePrefix="1" applyNumberFormat="1" applyFont="1" applyFill="1" applyBorder="1" applyAlignment="1">
      <alignment horizontal="center" vertical="center"/>
    </xf>
    <xf numFmtId="0" fontId="2" fillId="0" borderId="6" xfId="2" quotePrefix="1" applyFont="1" applyBorder="1" applyAlignment="1">
      <alignment horizontal="center" vertical="center"/>
    </xf>
    <xf numFmtId="166" fontId="2" fillId="3" borderId="7" xfId="2" quotePrefix="1" applyNumberFormat="1" applyFont="1" applyFill="1" applyBorder="1" applyAlignment="1">
      <alignment horizontal="center" vertical="center"/>
    </xf>
    <xf numFmtId="0" fontId="8" fillId="3" borderId="0" xfId="2" quotePrefix="1" applyFont="1" applyFill="1" applyAlignment="1">
      <alignment horizontal="center" vertical="center"/>
    </xf>
    <xf numFmtId="164" fontId="8" fillId="3" borderId="0" xfId="2" quotePrefix="1" applyNumberFormat="1" applyFont="1" applyFill="1" applyAlignment="1">
      <alignment horizontal="center" vertical="center"/>
    </xf>
    <xf numFmtId="166" fontId="4" fillId="3" borderId="0" xfId="2" applyNumberFormat="1" applyFont="1" applyFill="1" applyAlignment="1">
      <alignment horizontal="center" vertical="center"/>
    </xf>
    <xf numFmtId="0" fontId="7" fillId="9" borderId="31" xfId="2" applyFont="1" applyFill="1" applyBorder="1" applyAlignment="1">
      <alignment horizontal="center" vertical="center" wrapText="1" shrinkToFit="1"/>
    </xf>
    <xf numFmtId="0" fontId="4" fillId="0" borderId="45" xfId="2" quotePrefix="1" applyFont="1" applyBorder="1" applyAlignment="1">
      <alignment horizontal="center" vertical="center"/>
    </xf>
    <xf numFmtId="0" fontId="8" fillId="0" borderId="0" xfId="2" applyFont="1" applyAlignment="1">
      <alignment horizontal="center" vertical="center"/>
    </xf>
    <xf numFmtId="164" fontId="4" fillId="3" borderId="0" xfId="2" applyNumberFormat="1" applyFont="1" applyFill="1" applyAlignment="1">
      <alignment horizontal="center" vertical="center"/>
    </xf>
    <xf numFmtId="0" fontId="4" fillId="6" borderId="31" xfId="2" quotePrefix="1" applyFont="1" applyFill="1" applyBorder="1" applyAlignment="1">
      <alignment horizontal="center" vertical="center"/>
    </xf>
    <xf numFmtId="0" fontId="4" fillId="6" borderId="32" xfId="2" quotePrefix="1" applyFont="1" applyFill="1" applyBorder="1" applyAlignment="1">
      <alignment horizontal="center" vertical="center"/>
    </xf>
    <xf numFmtId="0" fontId="4" fillId="6" borderId="41" xfId="2" quotePrefix="1" applyFont="1" applyFill="1" applyBorder="1" applyAlignment="1">
      <alignment horizontal="center" vertical="center"/>
    </xf>
    <xf numFmtId="164" fontId="2" fillId="0" borderId="7" xfId="3" applyFont="1" applyFill="1" applyBorder="1" applyAlignment="1" applyProtection="1">
      <alignment horizontal="center" vertical="center" wrapText="1"/>
    </xf>
    <xf numFmtId="0" fontId="4" fillId="6" borderId="6" xfId="2" quotePrefix="1" applyFont="1" applyFill="1" applyBorder="1" applyAlignment="1">
      <alignment horizontal="center" vertical="center"/>
    </xf>
    <xf numFmtId="164" fontId="4" fillId="6" borderId="6" xfId="2" quotePrefix="1" applyNumberFormat="1" applyFont="1" applyFill="1" applyBorder="1" applyAlignment="1">
      <alignment horizontal="center" vertical="center"/>
    </xf>
    <xf numFmtId="0" fontId="4" fillId="6" borderId="7" xfId="2" quotePrefix="1" applyFont="1" applyFill="1" applyBorder="1" applyAlignment="1">
      <alignment horizontal="center" vertical="center"/>
    </xf>
    <xf numFmtId="0" fontId="3" fillId="0" borderId="49" xfId="2" applyFont="1" applyBorder="1" applyAlignment="1">
      <alignment horizontal="center" vertical="center"/>
    </xf>
    <xf numFmtId="0" fontId="4" fillId="6" borderId="13" xfId="2" quotePrefix="1" applyFont="1" applyFill="1" applyBorder="1" applyAlignment="1">
      <alignment horizontal="center" vertical="center"/>
    </xf>
    <xf numFmtId="0" fontId="2" fillId="0" borderId="6" xfId="2" quotePrefix="1" applyFont="1" applyBorder="1" applyAlignment="1">
      <alignment horizontal="center" vertical="center" wrapText="1"/>
    </xf>
    <xf numFmtId="164" fontId="2" fillId="6" borderId="7" xfId="3" applyFont="1" applyFill="1" applyBorder="1" applyAlignment="1" applyProtection="1">
      <alignment horizontal="center" vertical="center" wrapText="1"/>
    </xf>
    <xf numFmtId="0" fontId="2" fillId="0" borderId="15" xfId="2" quotePrefix="1" applyFont="1" applyBorder="1" applyAlignment="1">
      <alignment horizontal="center" vertical="center" wrapText="1"/>
    </xf>
    <xf numFmtId="0" fontId="3" fillId="3" borderId="49" xfId="2" applyFont="1" applyFill="1" applyBorder="1" applyAlignment="1">
      <alignment horizontal="center" vertical="center"/>
    </xf>
    <xf numFmtId="0" fontId="2" fillId="3" borderId="12" xfId="2" quotePrefix="1" applyFont="1" applyFill="1" applyBorder="1" applyAlignment="1">
      <alignment horizontal="center" vertical="center" wrapText="1"/>
    </xf>
    <xf numFmtId="0" fontId="2" fillId="0" borderId="12" xfId="2" quotePrefix="1" applyFont="1" applyBorder="1" applyAlignment="1">
      <alignment horizontal="center" vertical="center" wrapText="1"/>
    </xf>
    <xf numFmtId="164" fontId="2" fillId="3" borderId="13" xfId="3" applyFont="1" applyFill="1" applyBorder="1" applyAlignment="1" applyProtection="1">
      <alignment horizontal="center" vertical="center"/>
    </xf>
    <xf numFmtId="0" fontId="5" fillId="6" borderId="12" xfId="2" applyFont="1" applyFill="1" applyBorder="1" applyAlignment="1">
      <alignment horizontal="center" vertical="center" wrapText="1"/>
    </xf>
    <xf numFmtId="164" fontId="5" fillId="6" borderId="12" xfId="2" applyNumberFormat="1" applyFont="1" applyFill="1" applyBorder="1" applyAlignment="1">
      <alignment horizontal="center" vertical="center" wrapText="1"/>
    </xf>
    <xf numFmtId="0" fontId="5" fillId="6" borderId="13" xfId="2" applyFont="1" applyFill="1" applyBorder="1" applyAlignment="1">
      <alignment horizontal="center" vertical="center" wrapText="1"/>
    </xf>
    <xf numFmtId="0" fontId="7" fillId="3" borderId="6" xfId="2" quotePrefix="1" applyFont="1" applyFill="1" applyBorder="1" applyAlignment="1">
      <alignment horizontal="center" vertical="center" wrapText="1"/>
    </xf>
    <xf numFmtId="0" fontId="5" fillId="6" borderId="6" xfId="2" applyFont="1" applyFill="1" applyBorder="1" applyAlignment="1">
      <alignment horizontal="center" vertical="center" wrapText="1"/>
    </xf>
    <xf numFmtId="164" fontId="5" fillId="6" borderId="6" xfId="2" applyNumberFormat="1" applyFont="1" applyFill="1" applyBorder="1" applyAlignment="1">
      <alignment horizontal="center" vertical="center" wrapText="1"/>
    </xf>
    <xf numFmtId="0" fontId="5" fillId="6" borderId="7" xfId="2" applyFont="1" applyFill="1" applyBorder="1" applyAlignment="1">
      <alignment horizontal="center" vertical="center" wrapText="1"/>
    </xf>
    <xf numFmtId="164" fontId="3" fillId="3" borderId="0" xfId="3" applyFont="1" applyFill="1" applyBorder="1" applyAlignment="1" applyProtection="1">
      <alignment horizontal="center" vertical="center"/>
    </xf>
    <xf numFmtId="0" fontId="5" fillId="7" borderId="18" xfId="2" applyFont="1" applyFill="1" applyBorder="1" applyAlignment="1">
      <alignment horizontal="center" vertical="center" wrapText="1"/>
    </xf>
    <xf numFmtId="0" fontId="3" fillId="6" borderId="41" xfId="2" applyFont="1" applyFill="1" applyBorder="1" applyAlignment="1">
      <alignment horizontal="center" vertical="center" wrapText="1"/>
    </xf>
    <xf numFmtId="164" fontId="3" fillId="6" borderId="12" xfId="2" applyNumberFormat="1" applyFont="1" applyFill="1" applyBorder="1" applyAlignment="1">
      <alignment horizontal="center" vertical="center" wrapText="1"/>
    </xf>
    <xf numFmtId="0" fontId="3" fillId="6" borderId="13" xfId="2" applyFont="1" applyFill="1" applyBorder="1" applyAlignment="1">
      <alignment horizontal="center" vertical="center" wrapText="1"/>
    </xf>
    <xf numFmtId="0" fontId="2" fillId="9" borderId="31" xfId="2" applyFont="1" applyFill="1" applyBorder="1" applyAlignment="1">
      <alignment horizontal="center" vertical="center"/>
    </xf>
    <xf numFmtId="0" fontId="2" fillId="9" borderId="34" xfId="2" applyFont="1" applyFill="1" applyBorder="1" applyAlignment="1">
      <alignment horizontal="center" vertical="center"/>
    </xf>
    <xf numFmtId="164" fontId="2" fillId="3" borderId="16" xfId="3" applyFont="1" applyFill="1" applyBorder="1" applyAlignment="1" applyProtection="1">
      <alignment horizontal="center" vertical="center"/>
    </xf>
    <xf numFmtId="164" fontId="8" fillId="3" borderId="0" xfId="2" applyNumberFormat="1" applyFont="1" applyFill="1" applyAlignment="1">
      <alignment horizontal="center" vertical="center"/>
    </xf>
    <xf numFmtId="0" fontId="2" fillId="9" borderId="31" xfId="2" applyFont="1" applyFill="1" applyBorder="1" applyAlignment="1">
      <alignment horizontal="center" vertical="center" wrapText="1"/>
    </xf>
    <xf numFmtId="0" fontId="2" fillId="3" borderId="6" xfId="2" applyFont="1" applyFill="1" applyBorder="1" applyAlignment="1">
      <alignment horizontal="center" vertical="center" wrapText="1"/>
    </xf>
    <xf numFmtId="166" fontId="8" fillId="3" borderId="7" xfId="2" quotePrefix="1" applyNumberFormat="1" applyFont="1" applyFill="1" applyBorder="1" applyAlignment="1">
      <alignment horizontal="center" vertical="center"/>
    </xf>
    <xf numFmtId="0" fontId="2" fillId="9" borderId="34" xfId="2" applyFont="1" applyFill="1" applyBorder="1" applyAlignment="1">
      <alignment horizontal="center" vertical="center" wrapText="1"/>
    </xf>
    <xf numFmtId="164" fontId="8" fillId="0" borderId="63" xfId="3" applyFont="1" applyFill="1" applyBorder="1" applyAlignment="1" applyProtection="1">
      <alignment horizontal="center" vertical="center"/>
    </xf>
    <xf numFmtId="0" fontId="2" fillId="3" borderId="45" xfId="2" applyFont="1" applyFill="1" applyBorder="1" applyAlignment="1">
      <alignment horizontal="center" vertical="center"/>
    </xf>
    <xf numFmtId="164" fontId="9" fillId="3" borderId="0" xfId="2" applyNumberFormat="1" applyFont="1" applyFill="1" applyAlignment="1">
      <alignment horizontal="center" vertical="center" wrapText="1"/>
    </xf>
    <xf numFmtId="0" fontId="3" fillId="6" borderId="64" xfId="2" applyFont="1" applyFill="1" applyBorder="1" applyAlignment="1">
      <alignment horizontal="center" vertical="center" wrapText="1"/>
    </xf>
    <xf numFmtId="0" fontId="2" fillId="9" borderId="65" xfId="2" quotePrefix="1" applyFont="1" applyFill="1" applyBorder="1" applyAlignment="1">
      <alignment horizontal="center" vertical="center" wrapText="1"/>
    </xf>
    <xf numFmtId="164" fontId="2" fillId="3" borderId="46" xfId="3" applyFont="1" applyFill="1" applyBorder="1" applyAlignment="1" applyProtection="1">
      <alignment horizontal="center" vertical="center"/>
    </xf>
    <xf numFmtId="0" fontId="2" fillId="9" borderId="67" xfId="2" quotePrefix="1" applyFont="1" applyFill="1" applyBorder="1" applyAlignment="1">
      <alignment horizontal="center" vertical="center" wrapText="1"/>
    </xf>
    <xf numFmtId="0" fontId="3" fillId="6" borderId="40" xfId="2" applyFont="1" applyFill="1" applyBorder="1" applyAlignment="1">
      <alignment horizontal="center" vertical="center" wrapText="1"/>
    </xf>
    <xf numFmtId="164" fontId="2" fillId="3" borderId="45" xfId="3" applyFont="1" applyFill="1" applyBorder="1" applyAlignment="1" applyProtection="1">
      <alignment horizontal="center" vertical="center" wrapText="1"/>
    </xf>
    <xf numFmtId="164" fontId="10" fillId="0" borderId="45" xfId="3" applyFont="1" applyFill="1" applyBorder="1" applyAlignment="1" applyProtection="1">
      <alignment horizontal="center" vertical="center"/>
    </xf>
    <xf numFmtId="0" fontId="7" fillId="0" borderId="5" xfId="2" applyFont="1" applyBorder="1" applyAlignment="1">
      <alignment horizontal="left" vertical="center" wrapText="1"/>
    </xf>
    <xf numFmtId="0" fontId="7" fillId="0" borderId="14" xfId="2" applyFont="1" applyBorder="1" applyAlignment="1">
      <alignment horizontal="left" vertical="center" wrapText="1"/>
    </xf>
    <xf numFmtId="0" fontId="2" fillId="0" borderId="32" xfId="2" quotePrefix="1" applyFont="1" applyBorder="1" applyAlignment="1">
      <alignment horizontal="left" vertical="center" wrapText="1"/>
    </xf>
    <xf numFmtId="0" fontId="4" fillId="0" borderId="7" xfId="2" quotePrefix="1" applyFont="1" applyBorder="1" applyAlignment="1">
      <alignment horizontal="center" vertical="center"/>
    </xf>
    <xf numFmtId="0" fontId="7" fillId="0" borderId="35" xfId="2" applyFont="1" applyBorder="1" applyAlignment="1">
      <alignment horizontal="left" vertical="center" wrapText="1"/>
    </xf>
    <xf numFmtId="164" fontId="2" fillId="0" borderId="16" xfId="3" applyFont="1" applyFill="1" applyBorder="1" applyAlignment="1" applyProtection="1">
      <alignment horizontal="center" vertical="center" wrapText="1"/>
    </xf>
    <xf numFmtId="0" fontId="2" fillId="3" borderId="32" xfId="2" quotePrefix="1" applyFont="1" applyFill="1" applyBorder="1" applyAlignment="1">
      <alignment horizontal="left" vertical="center" wrapText="1"/>
    </xf>
    <xf numFmtId="0" fontId="2" fillId="3" borderId="29" xfId="2" quotePrefix="1" applyFont="1" applyFill="1" applyBorder="1" applyAlignment="1">
      <alignment horizontal="center" vertical="center" wrapText="1"/>
    </xf>
    <xf numFmtId="0" fontId="7" fillId="3" borderId="15" xfId="2" quotePrefix="1" applyFont="1" applyFill="1" applyBorder="1" applyAlignment="1">
      <alignment horizontal="center" vertical="center" wrapText="1"/>
    </xf>
    <xf numFmtId="0" fontId="2" fillId="3" borderId="5" xfId="2" applyFont="1" applyFill="1" applyBorder="1" applyAlignment="1">
      <alignment horizontal="left" vertical="center" wrapText="1"/>
    </xf>
    <xf numFmtId="164" fontId="2" fillId="3" borderId="82" xfId="3" applyFont="1" applyFill="1" applyBorder="1" applyAlignment="1" applyProtection="1">
      <alignment horizontal="center" vertical="center"/>
    </xf>
    <xf numFmtId="0" fontId="8" fillId="3" borderId="15" xfId="2" applyFont="1" applyFill="1" applyBorder="1" applyAlignment="1">
      <alignment horizontal="center" vertical="center" wrapText="1" shrinkToFit="1"/>
    </xf>
    <xf numFmtId="0" fontId="2" fillId="3" borderId="32" xfId="2" applyFont="1" applyFill="1" applyBorder="1" applyAlignment="1">
      <alignment horizontal="left" vertical="center" wrapText="1"/>
    </xf>
    <xf numFmtId="0" fontId="2" fillId="0" borderId="62" xfId="2" quotePrefix="1" applyFont="1" applyBorder="1" applyAlignment="1">
      <alignment horizontal="left" vertical="center" wrapText="1"/>
    </xf>
    <xf numFmtId="0" fontId="7" fillId="3" borderId="14" xfId="2" quotePrefix="1" applyFont="1" applyFill="1" applyBorder="1" applyAlignment="1">
      <alignment horizontal="left" vertical="center" wrapText="1"/>
    </xf>
    <xf numFmtId="0" fontId="7" fillId="3" borderId="28" xfId="2" quotePrefix="1" applyFont="1" applyFill="1" applyBorder="1" applyAlignment="1">
      <alignment horizontal="left" vertical="center" wrapText="1"/>
    </xf>
    <xf numFmtId="0" fontId="7" fillId="3" borderId="32" xfId="2" quotePrefix="1" applyFont="1" applyFill="1" applyBorder="1" applyAlignment="1">
      <alignment horizontal="left" vertical="center" wrapText="1"/>
    </xf>
    <xf numFmtId="0" fontId="2" fillId="3" borderId="35" xfId="2" quotePrefix="1" applyFont="1" applyFill="1" applyBorder="1" applyAlignment="1">
      <alignment horizontal="left" vertical="center" wrapText="1"/>
    </xf>
    <xf numFmtId="0" fontId="6" fillId="6" borderId="33" xfId="2" applyFont="1" applyFill="1" applyBorder="1" applyAlignment="1">
      <alignment horizontal="center" vertical="center" wrapText="1"/>
    </xf>
    <xf numFmtId="0" fontId="2" fillId="9" borderId="24" xfId="2" quotePrefix="1" applyFont="1" applyFill="1" applyBorder="1" applyAlignment="1">
      <alignment horizontal="center" vertical="center" wrapText="1"/>
    </xf>
    <xf numFmtId="0" fontId="7" fillId="0" borderId="0" xfId="2" applyFont="1" applyAlignment="1">
      <alignment horizontal="center" vertical="center" wrapText="1"/>
    </xf>
    <xf numFmtId="0" fontId="6" fillId="0" borderId="0" xfId="2" applyFont="1" applyAlignment="1">
      <alignment horizontal="center" vertical="center" wrapText="1"/>
    </xf>
    <xf numFmtId="0" fontId="5" fillId="7" borderId="88" xfId="2" applyFont="1" applyFill="1" applyBorder="1" applyAlignment="1">
      <alignment horizontal="center" vertical="center" wrapText="1"/>
    </xf>
    <xf numFmtId="0" fontId="6" fillId="0" borderId="6" xfId="2" applyFont="1" applyBorder="1" applyAlignment="1">
      <alignment horizontal="center" vertical="center" wrapText="1"/>
    </xf>
    <xf numFmtId="183" fontId="7" fillId="0" borderId="6" xfId="2" applyNumberFormat="1" applyFont="1" applyBorder="1" applyAlignment="1">
      <alignment horizontal="center" vertical="center" wrapText="1"/>
    </xf>
    <xf numFmtId="0" fontId="7" fillId="0" borderId="72" xfId="2" applyFont="1" applyBorder="1" applyAlignment="1">
      <alignment horizontal="left" vertical="center" wrapText="1"/>
    </xf>
    <xf numFmtId="0" fontId="7" fillId="0" borderId="6" xfId="2" applyFont="1" applyBorder="1" applyAlignment="1">
      <alignment horizontal="center" vertical="center" wrapText="1"/>
    </xf>
    <xf numFmtId="2" fontId="7" fillId="0" borderId="6" xfId="2" applyNumberFormat="1" applyFont="1" applyBorder="1" applyAlignment="1">
      <alignment horizontal="center" vertical="center" wrapText="1"/>
    </xf>
    <xf numFmtId="183" fontId="6" fillId="0" borderId="6" xfId="2" applyNumberFormat="1" applyFont="1" applyBorder="1" applyAlignment="1">
      <alignment horizontal="center" vertical="center" wrapText="1"/>
    </xf>
    <xf numFmtId="0" fontId="5" fillId="7" borderId="90" xfId="2" applyFont="1" applyFill="1" applyBorder="1" applyAlignment="1">
      <alignment horizontal="center" vertical="center" wrapText="1"/>
    </xf>
    <xf numFmtId="183" fontId="8" fillId="0" borderId="6" xfId="2" applyNumberFormat="1" applyFont="1" applyBorder="1" applyAlignment="1">
      <alignment horizontal="center" vertical="center" wrapText="1" shrinkToFit="1"/>
    </xf>
    <xf numFmtId="183" fontId="4" fillId="0" borderId="6" xfId="2" applyNumberFormat="1" applyFont="1" applyBorder="1" applyAlignment="1">
      <alignment horizontal="center" vertical="center" wrapText="1" shrinkToFit="1"/>
    </xf>
    <xf numFmtId="0" fontId="7" fillId="9" borderId="27" xfId="2" applyFont="1" applyFill="1" applyBorder="1" applyAlignment="1">
      <alignment horizontal="center" vertical="center" wrapText="1" shrinkToFit="1"/>
    </xf>
    <xf numFmtId="183" fontId="2" fillId="0" borderId="15" xfId="2" quotePrefix="1" applyNumberFormat="1" applyFont="1" applyBorder="1" applyAlignment="1">
      <alignment horizontal="center" vertical="center" wrapText="1"/>
    </xf>
    <xf numFmtId="0" fontId="2" fillId="0" borderId="70" xfId="2" quotePrefix="1" applyFont="1" applyBorder="1" applyAlignment="1">
      <alignment vertical="center" wrapText="1"/>
    </xf>
    <xf numFmtId="183" fontId="8" fillId="0" borderId="15" xfId="2" applyNumberFormat="1" applyFont="1" applyBorder="1" applyAlignment="1">
      <alignment horizontal="center" vertical="center" wrapText="1" shrinkToFit="1"/>
    </xf>
    <xf numFmtId="183" fontId="5" fillId="6" borderId="12" xfId="2" applyNumberFormat="1" applyFont="1" applyFill="1" applyBorder="1" applyAlignment="1">
      <alignment horizontal="center" vertical="center" wrapText="1"/>
    </xf>
    <xf numFmtId="183" fontId="5" fillId="6" borderId="40" xfId="2" applyNumberFormat="1" applyFont="1" applyFill="1" applyBorder="1" applyAlignment="1">
      <alignment horizontal="center" vertical="center" wrapText="1"/>
    </xf>
    <xf numFmtId="183" fontId="2" fillId="3" borderId="6" xfId="2" quotePrefix="1" applyNumberFormat="1" applyFont="1" applyFill="1" applyBorder="1" applyAlignment="1">
      <alignment horizontal="center" vertical="center" wrapText="1"/>
    </xf>
    <xf numFmtId="183" fontId="8" fillId="0" borderId="35" xfId="2" applyNumberFormat="1" applyFont="1" applyBorder="1" applyAlignment="1">
      <alignment horizontal="center" vertical="center" wrapText="1"/>
    </xf>
    <xf numFmtId="0" fontId="6" fillId="0" borderId="15" xfId="2" applyFont="1" applyBorder="1" applyAlignment="1">
      <alignment horizontal="center" vertical="center" wrapText="1"/>
    </xf>
    <xf numFmtId="0" fontId="8" fillId="0" borderId="45" xfId="2" applyFont="1" applyBorder="1" applyAlignment="1">
      <alignment horizontal="center" vertical="center" wrapText="1" shrinkToFit="1"/>
    </xf>
    <xf numFmtId="0" fontId="8" fillId="0" borderId="16" xfId="2" applyFont="1" applyBorder="1" applyAlignment="1">
      <alignment horizontal="center" vertical="center" wrapText="1" shrinkToFit="1"/>
    </xf>
    <xf numFmtId="0" fontId="8" fillId="0" borderId="7" xfId="2" applyFont="1" applyBorder="1" applyAlignment="1">
      <alignment horizontal="center" vertical="center" wrapText="1" shrinkToFit="1"/>
    </xf>
    <xf numFmtId="0" fontId="8" fillId="3" borderId="7" xfId="2" applyFont="1" applyFill="1" applyBorder="1" applyAlignment="1">
      <alignment horizontal="center" vertical="center" wrapText="1" shrinkToFit="1"/>
    </xf>
    <xf numFmtId="0" fontId="2" fillId="0" borderId="16" xfId="2" quotePrefix="1" applyFont="1" applyBorder="1" applyAlignment="1">
      <alignment horizontal="center" vertical="center" wrapText="1"/>
    </xf>
    <xf numFmtId="183" fontId="7" fillId="0" borderId="7" xfId="2" applyNumberFormat="1" applyFont="1" applyBorder="1" applyAlignment="1">
      <alignment horizontal="center" vertical="center" wrapText="1"/>
    </xf>
    <xf numFmtId="0" fontId="7" fillId="0" borderId="15" xfId="2" applyFont="1" applyBorder="1" applyAlignment="1">
      <alignment horizontal="center" vertical="center" wrapText="1"/>
    </xf>
    <xf numFmtId="183" fontId="7" fillId="0" borderId="16" xfId="2" applyNumberFormat="1" applyFont="1" applyBorder="1" applyAlignment="1">
      <alignment horizontal="center" vertical="center" wrapText="1"/>
    </xf>
    <xf numFmtId="0" fontId="4" fillId="6" borderId="46" xfId="2" quotePrefix="1" applyFont="1" applyFill="1" applyBorder="1" applyAlignment="1">
      <alignment vertical="center"/>
    </xf>
    <xf numFmtId="0" fontId="7" fillId="3" borderId="7" xfId="2" quotePrefix="1" applyFont="1" applyFill="1" applyBorder="1" applyAlignment="1">
      <alignment horizontal="center" vertical="center" wrapText="1"/>
    </xf>
    <xf numFmtId="0" fontId="7" fillId="3" borderId="16" xfId="2" quotePrefix="1" applyFont="1" applyFill="1" applyBorder="1" applyAlignment="1">
      <alignment horizontal="center" vertical="center" wrapText="1"/>
    </xf>
    <xf numFmtId="0" fontId="2" fillId="0" borderId="35" xfId="2" applyFont="1" applyBorder="1" applyAlignment="1">
      <alignment horizontal="left" vertical="center" wrapText="1"/>
    </xf>
    <xf numFmtId="0" fontId="2" fillId="3" borderId="13" xfId="2" quotePrefix="1" applyFont="1" applyFill="1" applyBorder="1" applyAlignment="1">
      <alignment horizontal="center" vertical="center" wrapText="1"/>
    </xf>
    <xf numFmtId="0" fontId="2" fillId="3" borderId="7" xfId="2" applyFont="1" applyFill="1" applyBorder="1" applyAlignment="1">
      <alignment horizontal="center" vertical="center" wrapText="1"/>
    </xf>
    <xf numFmtId="183" fontId="7" fillId="0" borderId="15" xfId="2" applyNumberFormat="1" applyFont="1" applyBorder="1" applyAlignment="1">
      <alignment horizontal="center" vertical="center" wrapText="1"/>
    </xf>
    <xf numFmtId="0" fontId="2" fillId="0" borderId="16" xfId="2" applyFont="1" applyBorder="1" applyAlignment="1">
      <alignment horizontal="center" vertical="center"/>
    </xf>
    <xf numFmtId="0" fontId="2" fillId="3" borderId="14" xfId="2" quotePrefix="1" applyFont="1" applyFill="1" applyBorder="1" applyAlignment="1">
      <alignment horizontal="left" vertical="center" wrapText="1"/>
    </xf>
    <xf numFmtId="183" fontId="5" fillId="6" borderId="46" xfId="2" applyNumberFormat="1" applyFont="1" applyFill="1" applyBorder="1" applyAlignment="1">
      <alignment horizontal="center" vertical="center" wrapText="1"/>
    </xf>
    <xf numFmtId="0" fontId="2" fillId="3" borderId="7" xfId="2" quotePrefix="1" applyFont="1" applyFill="1" applyBorder="1" applyAlignment="1">
      <alignment horizontal="center" vertical="center" wrapText="1"/>
    </xf>
    <xf numFmtId="0" fontId="2" fillId="3" borderId="16" xfId="2" quotePrefix="1" applyFont="1" applyFill="1" applyBorder="1" applyAlignment="1">
      <alignment horizontal="center" vertical="center" wrapText="1"/>
    </xf>
    <xf numFmtId="0" fontId="11" fillId="0" borderId="0" xfId="6" applyFill="1"/>
    <xf numFmtId="0" fontId="27" fillId="0" borderId="0" xfId="0" applyFont="1"/>
    <xf numFmtId="42" fontId="7" fillId="0" borderId="12" xfId="128" applyFont="1" applyFill="1" applyBorder="1"/>
    <xf numFmtId="183" fontId="2" fillId="0" borderId="12" xfId="2" applyNumberFormat="1" applyFont="1" applyBorder="1" applyAlignment="1">
      <alignment horizontal="center" vertical="center" wrapText="1"/>
    </xf>
    <xf numFmtId="42" fontId="7" fillId="0" borderId="6" xfId="128" applyFont="1" applyFill="1" applyBorder="1"/>
    <xf numFmtId="2" fontId="7" fillId="0" borderId="12" xfId="0" applyNumberFormat="1" applyFont="1" applyBorder="1" applyAlignment="1">
      <alignment horizontal="center"/>
    </xf>
    <xf numFmtId="0" fontId="3" fillId="6" borderId="85" xfId="2" applyFont="1" applyFill="1" applyBorder="1" applyAlignment="1">
      <alignment horizontal="center" vertical="center" wrapText="1"/>
    </xf>
    <xf numFmtId="0" fontId="6" fillId="6" borderId="85" xfId="2" applyFont="1" applyFill="1" applyBorder="1" applyAlignment="1">
      <alignment horizontal="center" vertical="center" wrapText="1"/>
    </xf>
    <xf numFmtId="0" fontId="6" fillId="6" borderId="54" xfId="2" applyFont="1" applyFill="1" applyBorder="1" applyAlignment="1">
      <alignment horizontal="center" vertical="center" wrapText="1"/>
    </xf>
    <xf numFmtId="0" fontId="6" fillId="6" borderId="46" xfId="2" applyFont="1" applyFill="1" applyBorder="1" applyAlignment="1">
      <alignment horizontal="center" vertical="center" wrapText="1"/>
    </xf>
    <xf numFmtId="0" fontId="2" fillId="0" borderId="0" xfId="102" applyFont="1"/>
    <xf numFmtId="185" fontId="2" fillId="0" borderId="0" xfId="136" applyNumberFormat="1" applyFont="1"/>
    <xf numFmtId="184" fontId="2" fillId="0" borderId="0" xfId="136" applyNumberFormat="1" applyFont="1"/>
    <xf numFmtId="0" fontId="8" fillId="0" borderId="6" xfId="110" applyFont="1" applyBorder="1" applyAlignment="1">
      <alignment horizontal="left" vertical="center" wrapText="1"/>
    </xf>
    <xf numFmtId="185" fontId="8" fillId="0" borderId="6" xfId="136" applyNumberFormat="1" applyFont="1" applyBorder="1" applyAlignment="1">
      <alignment horizontal="center" vertical="center" wrapText="1"/>
    </xf>
    <xf numFmtId="2" fontId="8" fillId="0" borderId="6" xfId="137" applyNumberFormat="1" applyFont="1" applyFill="1" applyBorder="1" applyAlignment="1">
      <alignment horizontal="center" vertical="center" wrapText="1"/>
    </xf>
    <xf numFmtId="9" fontId="8" fillId="0" borderId="6" xfId="137" applyFont="1" applyFill="1" applyBorder="1" applyAlignment="1">
      <alignment horizontal="center" vertical="center" wrapText="1"/>
    </xf>
    <xf numFmtId="183" fontId="8" fillId="0" borderId="6" xfId="110" applyNumberFormat="1" applyFont="1" applyBorder="1" applyAlignment="1">
      <alignment horizontal="center" vertical="center" wrapText="1"/>
    </xf>
    <xf numFmtId="0" fontId="2" fillId="0" borderId="6" xfId="110" applyFont="1" applyBorder="1" applyAlignment="1">
      <alignment horizontal="left" vertical="center" wrapText="1"/>
    </xf>
    <xf numFmtId="185" fontId="2" fillId="0" borderId="6" xfId="136" applyNumberFormat="1" applyFont="1" applyBorder="1" applyAlignment="1">
      <alignment horizontal="center" vertical="center" wrapText="1"/>
    </xf>
    <xf numFmtId="0" fontId="2" fillId="0" borderId="6" xfId="110" applyFont="1" applyBorder="1" applyAlignment="1">
      <alignment horizontal="center" vertical="center" wrapText="1"/>
    </xf>
    <xf numFmtId="9" fontId="2" fillId="0" borderId="6" xfId="137" applyFont="1" applyFill="1" applyBorder="1" applyAlignment="1">
      <alignment horizontal="center" vertical="center" wrapText="1"/>
    </xf>
    <xf numFmtId="185" fontId="7" fillId="0" borderId="6" xfId="136" applyNumberFormat="1" applyFont="1" applyBorder="1" applyAlignment="1">
      <alignment horizontal="center" vertical="center" wrapText="1"/>
    </xf>
    <xf numFmtId="183" fontId="8" fillId="3" borderId="6" xfId="110" applyNumberFormat="1" applyFont="1" applyFill="1" applyBorder="1" applyAlignment="1">
      <alignment horizontal="center" vertical="center" wrapText="1"/>
    </xf>
    <xf numFmtId="2" fontId="7" fillId="0" borderId="6" xfId="137" applyNumberFormat="1" applyFont="1" applyFill="1" applyBorder="1" applyAlignment="1">
      <alignment horizontal="center" vertical="center" wrapText="1"/>
    </xf>
    <xf numFmtId="0" fontId="8" fillId="0" borderId="6" xfId="110" applyFont="1" applyBorder="1" applyAlignment="1">
      <alignment horizontal="left" vertical="top" wrapText="1"/>
    </xf>
    <xf numFmtId="2" fontId="2" fillId="0" borderId="6" xfId="110" applyNumberFormat="1" applyFont="1" applyBorder="1" applyAlignment="1">
      <alignment horizontal="center" vertical="top" wrapText="1"/>
    </xf>
    <xf numFmtId="183" fontId="8" fillId="0" borderId="6" xfId="137" applyNumberFormat="1" applyFont="1" applyFill="1" applyBorder="1" applyAlignment="1">
      <alignment horizontal="center" vertical="center" wrapText="1"/>
    </xf>
    <xf numFmtId="0" fontId="3" fillId="12" borderId="6" xfId="110" applyFont="1" applyFill="1" applyBorder="1" applyAlignment="1">
      <alignment horizontal="left" vertical="center" wrapText="1"/>
    </xf>
    <xf numFmtId="0" fontId="4" fillId="12" borderId="6" xfId="110" applyFont="1" applyFill="1" applyBorder="1" applyAlignment="1">
      <alignment horizontal="center" vertical="center" wrapText="1"/>
    </xf>
    <xf numFmtId="185" fontId="3" fillId="12" borderId="6" xfId="136" applyNumberFormat="1" applyFont="1" applyFill="1" applyBorder="1" applyAlignment="1">
      <alignment horizontal="center" vertical="center" wrapText="1"/>
    </xf>
    <xf numFmtId="0" fontId="3" fillId="12" borderId="6" xfId="110" applyFont="1" applyFill="1" applyBorder="1" applyAlignment="1">
      <alignment horizontal="center" vertical="center" wrapText="1"/>
    </xf>
    <xf numFmtId="1" fontId="3" fillId="12" borderId="6" xfId="110" applyNumberFormat="1" applyFont="1" applyFill="1" applyBorder="1" applyAlignment="1">
      <alignment horizontal="center" vertical="center" wrapText="1"/>
    </xf>
    <xf numFmtId="0" fontId="3" fillId="0" borderId="6" xfId="110" applyFont="1" applyBorder="1" applyAlignment="1">
      <alignment horizontal="left" vertical="center" wrapText="1"/>
    </xf>
    <xf numFmtId="0" fontId="3" fillId="0" borderId="6" xfId="110" applyFont="1" applyBorder="1" applyAlignment="1">
      <alignment horizontal="center" vertical="center" wrapText="1"/>
    </xf>
    <xf numFmtId="0" fontId="3" fillId="7" borderId="101" xfId="110" applyFont="1" applyFill="1" applyBorder="1" applyAlignment="1">
      <alignment horizontal="center" vertical="center" wrapText="1"/>
    </xf>
    <xf numFmtId="0" fontId="3" fillId="7" borderId="102" xfId="110" applyFont="1" applyFill="1" applyBorder="1" applyAlignment="1">
      <alignment horizontal="center" vertical="center" wrapText="1"/>
    </xf>
    <xf numFmtId="0" fontId="4" fillId="7" borderId="102" xfId="110" applyFont="1" applyFill="1" applyBorder="1" applyAlignment="1">
      <alignment horizontal="center" vertical="center" wrapText="1"/>
    </xf>
    <xf numFmtId="185" fontId="3" fillId="7" borderId="102" xfId="136" applyNumberFormat="1" applyFont="1" applyFill="1" applyBorder="1" applyAlignment="1">
      <alignment horizontal="center" vertical="center" wrapText="1"/>
    </xf>
    <xf numFmtId="1" fontId="3" fillId="7" borderId="102" xfId="110" applyNumberFormat="1" applyFont="1" applyFill="1" applyBorder="1" applyAlignment="1">
      <alignment horizontal="center" vertical="center" wrapText="1"/>
    </xf>
    <xf numFmtId="184" fontId="3" fillId="7" borderId="103" xfId="136" applyNumberFormat="1" applyFont="1" applyFill="1" applyBorder="1" applyAlignment="1">
      <alignment horizontal="center" vertical="center" wrapText="1"/>
    </xf>
    <xf numFmtId="0" fontId="3" fillId="6" borderId="6" xfId="110" applyFont="1" applyFill="1" applyBorder="1" applyAlignment="1">
      <alignment horizontal="center" vertical="center" wrapText="1"/>
    </xf>
    <xf numFmtId="0" fontId="4" fillId="6" borderId="6" xfId="110" applyFont="1" applyFill="1" applyBorder="1" applyAlignment="1">
      <alignment horizontal="center" vertical="top" wrapText="1"/>
    </xf>
    <xf numFmtId="3" fontId="3" fillId="6" borderId="6" xfId="110" applyNumberFormat="1" applyFont="1" applyFill="1" applyBorder="1" applyAlignment="1">
      <alignment horizontal="center" vertical="top" wrapText="1"/>
    </xf>
    <xf numFmtId="185" fontId="3" fillId="6" borderId="6" xfId="136" applyNumberFormat="1" applyFont="1" applyFill="1" applyBorder="1" applyAlignment="1">
      <alignment horizontal="center" vertical="top" wrapText="1"/>
    </xf>
    <xf numFmtId="0" fontId="3" fillId="6" borderId="6" xfId="110" applyFont="1" applyFill="1" applyBorder="1" applyAlignment="1">
      <alignment horizontal="center" vertical="top" wrapText="1"/>
    </xf>
    <xf numFmtId="1" fontId="3" fillId="6" borderId="6" xfId="110" applyNumberFormat="1" applyFont="1" applyFill="1" applyBorder="1" applyAlignment="1">
      <alignment horizontal="center" vertical="top" wrapText="1"/>
    </xf>
    <xf numFmtId="184" fontId="3" fillId="6" borderId="6" xfId="136" applyNumberFormat="1" applyFont="1" applyFill="1" applyBorder="1" applyAlignment="1">
      <alignment horizontal="center" vertical="top" wrapText="1"/>
    </xf>
    <xf numFmtId="0" fontId="3" fillId="0" borderId="6" xfId="110" applyFont="1" applyBorder="1" applyAlignment="1">
      <alignment horizontal="right" vertical="top" wrapText="1"/>
    </xf>
    <xf numFmtId="0" fontId="4" fillId="6" borderId="6" xfId="110" applyFont="1" applyFill="1" applyBorder="1" applyAlignment="1">
      <alignment horizontal="center" vertical="center" wrapText="1"/>
    </xf>
    <xf numFmtId="0" fontId="2" fillId="0" borderId="6" xfId="110" applyFont="1" applyBorder="1" applyAlignment="1">
      <alignment horizontal="right" vertical="top" wrapText="1"/>
    </xf>
    <xf numFmtId="0" fontId="4" fillId="6" borderId="6" xfId="110" applyFont="1" applyFill="1" applyBorder="1" applyAlignment="1">
      <alignment horizontal="left" vertical="center" wrapText="1"/>
    </xf>
    <xf numFmtId="43" fontId="3" fillId="6" borderId="6" xfId="133" applyFont="1" applyFill="1" applyBorder="1" applyAlignment="1">
      <alignment horizontal="center" vertical="top" wrapText="1"/>
    </xf>
    <xf numFmtId="0" fontId="3" fillId="0" borderId="6" xfId="110" applyFont="1" applyBorder="1" applyAlignment="1">
      <alignment horizontal="center" vertical="top" wrapText="1"/>
    </xf>
    <xf numFmtId="42" fontId="7" fillId="0" borderId="12" xfId="128" applyFont="1" applyFill="1" applyBorder="1" applyAlignment="1">
      <alignment horizontal="center"/>
    </xf>
    <xf numFmtId="0" fontId="6" fillId="6" borderId="29" xfId="2" applyFont="1" applyFill="1" applyBorder="1" applyAlignment="1">
      <alignment horizontal="center" vertical="center" wrapText="1"/>
    </xf>
    <xf numFmtId="42" fontId="7" fillId="0" borderId="26" xfId="128" applyFont="1" applyFill="1" applyBorder="1" applyAlignment="1">
      <alignment horizontal="center"/>
    </xf>
    <xf numFmtId="42" fontId="7" fillId="0" borderId="26" xfId="128" applyFont="1" applyFill="1" applyBorder="1"/>
    <xf numFmtId="0" fontId="5" fillId="7" borderId="60" xfId="2" applyFont="1" applyFill="1" applyBorder="1" applyAlignment="1">
      <alignment horizontal="center" vertical="center" wrapText="1"/>
    </xf>
    <xf numFmtId="0" fontId="7" fillId="0" borderId="0" xfId="0" applyFont="1"/>
    <xf numFmtId="0" fontId="2" fillId="0" borderId="0" xfId="142" applyFont="1"/>
    <xf numFmtId="0" fontId="6" fillId="6" borderId="26" xfId="2" applyFont="1" applyFill="1" applyBorder="1" applyAlignment="1">
      <alignment horizontal="center" vertical="center" wrapText="1"/>
    </xf>
    <xf numFmtId="0" fontId="2" fillId="0" borderId="6" xfId="142" applyFont="1" applyBorder="1"/>
    <xf numFmtId="3" fontId="29" fillId="0" borderId="6" xfId="142" applyNumberFormat="1" applyFont="1" applyBorder="1"/>
    <xf numFmtId="0" fontId="2" fillId="0" borderId="6" xfId="142" applyFont="1" applyBorder="1" applyAlignment="1">
      <alignment horizontal="center"/>
    </xf>
    <xf numFmtId="3" fontId="2" fillId="0" borderId="6" xfId="142" applyNumberFormat="1" applyFont="1" applyBorder="1" applyAlignment="1">
      <alignment horizontal="center"/>
    </xf>
    <xf numFmtId="9" fontId="2" fillId="0" borderId="6" xfId="142" applyNumberFormat="1" applyFont="1" applyBorder="1" applyAlignment="1">
      <alignment horizontal="center"/>
    </xf>
    <xf numFmtId="186" fontId="2" fillId="0" borderId="6" xfId="142" applyNumberFormat="1" applyFont="1" applyBorder="1" applyAlignment="1">
      <alignment horizontal="center"/>
    </xf>
    <xf numFmtId="10" fontId="2" fillId="0" borderId="6" xfId="142" applyNumberFormat="1" applyFont="1" applyBorder="1" applyAlignment="1">
      <alignment horizontal="center"/>
    </xf>
    <xf numFmtId="0" fontId="3" fillId="10" borderId="6" xfId="142" applyFont="1" applyFill="1" applyBorder="1"/>
    <xf numFmtId="10" fontId="3" fillId="10" borderId="6" xfId="142" applyNumberFormat="1" applyFont="1" applyFill="1" applyBorder="1" applyAlignment="1">
      <alignment horizontal="center"/>
    </xf>
    <xf numFmtId="0" fontId="2" fillId="0" borderId="12" xfId="142" applyFont="1" applyBorder="1"/>
    <xf numFmtId="0" fontId="5" fillId="7" borderId="106" xfId="2" applyFont="1" applyFill="1" applyBorder="1" applyAlignment="1">
      <alignment horizontal="center" vertical="center" wrapText="1"/>
    </xf>
    <xf numFmtId="0" fontId="3" fillId="0" borderId="0" xfId="142" applyFont="1"/>
    <xf numFmtId="0" fontId="2" fillId="3" borderId="29" xfId="2" applyFont="1" applyFill="1" applyBorder="1" applyAlignment="1">
      <alignment horizontal="center" vertical="center" wrapText="1"/>
    </xf>
    <xf numFmtId="0" fontId="2" fillId="9" borderId="27" xfId="2" quotePrefix="1" applyFont="1" applyFill="1" applyBorder="1" applyAlignment="1">
      <alignment horizontal="center" vertical="center" wrapText="1"/>
    </xf>
    <xf numFmtId="0" fontId="32" fillId="0" borderId="12" xfId="142" applyFont="1" applyBorder="1" applyAlignment="1">
      <alignment horizontal="center"/>
    </xf>
    <xf numFmtId="0" fontId="32" fillId="0" borderId="6" xfId="142" applyFont="1" applyBorder="1"/>
    <xf numFmtId="2" fontId="32" fillId="0" borderId="6" xfId="142" applyNumberFormat="1" applyFont="1" applyBorder="1" applyAlignment="1">
      <alignment horizontal="center"/>
    </xf>
    <xf numFmtId="2" fontId="32" fillId="0" borderId="29" xfId="142" applyNumberFormat="1" applyFont="1" applyBorder="1" applyAlignment="1">
      <alignment horizontal="center"/>
    </xf>
    <xf numFmtId="0" fontId="32" fillId="6" borderId="26" xfId="2" applyFont="1" applyFill="1" applyBorder="1" applyAlignment="1">
      <alignment horizontal="center" vertical="center" wrapText="1"/>
    </xf>
    <xf numFmtId="0" fontId="32" fillId="0" borderId="6" xfId="142" applyFont="1" applyBorder="1" applyAlignment="1">
      <alignment horizontal="center"/>
    </xf>
    <xf numFmtId="2" fontId="8" fillId="0" borderId="6" xfId="2" applyNumberFormat="1" applyFont="1" applyBorder="1" applyAlignment="1">
      <alignment horizontal="center" vertical="center" wrapText="1" shrinkToFit="1"/>
    </xf>
    <xf numFmtId="49" fontId="2" fillId="3" borderId="42" xfId="2" quotePrefix="1" applyNumberFormat="1" applyFont="1" applyFill="1" applyBorder="1" applyAlignment="1">
      <alignment horizontal="center" vertical="center" wrapText="1"/>
    </xf>
    <xf numFmtId="49" fontId="2" fillId="3" borderId="11" xfId="2" quotePrefix="1" applyNumberFormat="1" applyFont="1" applyFill="1" applyBorder="1" applyAlignment="1">
      <alignment horizontal="center" vertical="center" wrapText="1"/>
    </xf>
    <xf numFmtId="0" fontId="8" fillId="0" borderId="56" xfId="2" applyFont="1" applyBorder="1" applyAlignment="1">
      <alignment horizontal="center" vertical="center" wrapText="1" shrinkToFit="1"/>
    </xf>
    <xf numFmtId="0" fontId="8" fillId="0" borderId="55" xfId="2" applyFont="1" applyBorder="1" applyAlignment="1">
      <alignment horizontal="center" vertical="center" wrapText="1" shrinkToFit="1"/>
    </xf>
    <xf numFmtId="2" fontId="8" fillId="0" borderId="12" xfId="2" applyNumberFormat="1" applyFont="1" applyBorder="1" applyAlignment="1">
      <alignment horizontal="center" vertical="center" wrapText="1" shrinkToFit="1"/>
    </xf>
    <xf numFmtId="0" fontId="8" fillId="0" borderId="109" xfId="2" applyFont="1" applyBorder="1" applyAlignment="1">
      <alignment horizontal="center" vertical="center" wrapText="1" shrinkToFit="1"/>
    </xf>
    <xf numFmtId="2" fontId="7" fillId="0" borderId="6" xfId="0" applyNumberFormat="1" applyFont="1" applyBorder="1" applyAlignment="1">
      <alignment horizontal="center" vertical="center"/>
    </xf>
    <xf numFmtId="2" fontId="2" fillId="3" borderId="26" xfId="2" quotePrefix="1" applyNumberFormat="1" applyFont="1" applyFill="1" applyBorder="1" applyAlignment="1">
      <alignment horizontal="center" vertical="center" wrapText="1"/>
    </xf>
    <xf numFmtId="2" fontId="2" fillId="3" borderId="6" xfId="2" quotePrefix="1" applyNumberFormat="1" applyFont="1" applyFill="1" applyBorder="1" applyAlignment="1">
      <alignment horizontal="center" vertical="center" wrapText="1"/>
    </xf>
    <xf numFmtId="2" fontId="7" fillId="0" borderId="12" xfId="0" applyNumberFormat="1" applyFont="1" applyBorder="1" applyAlignment="1">
      <alignment horizontal="center" vertical="center"/>
    </xf>
    <xf numFmtId="2" fontId="2" fillId="3" borderId="29" xfId="2" quotePrefix="1" applyNumberFormat="1" applyFont="1" applyFill="1" applyBorder="1" applyAlignment="1">
      <alignment horizontal="center" vertical="center" wrapText="1"/>
    </xf>
    <xf numFmtId="2" fontId="2" fillId="3" borderId="15" xfId="2" quotePrefix="1" applyNumberFormat="1" applyFont="1" applyFill="1" applyBorder="1" applyAlignment="1">
      <alignment horizontal="center" vertical="center" wrapText="1"/>
    </xf>
    <xf numFmtId="2" fontId="8" fillId="0" borderId="15" xfId="2" applyNumberFormat="1" applyFont="1" applyBorder="1" applyAlignment="1">
      <alignment horizontal="center" vertical="center" wrapText="1" shrinkToFit="1"/>
    </xf>
    <xf numFmtId="0" fontId="8" fillId="0" borderId="57" xfId="2" applyFont="1" applyBorder="1" applyAlignment="1">
      <alignment horizontal="center" vertical="center" wrapText="1" shrinkToFit="1"/>
    </xf>
    <xf numFmtId="2" fontId="7" fillId="0" borderId="15" xfId="0" applyNumberFormat="1" applyFont="1" applyBorder="1" applyAlignment="1">
      <alignment horizontal="center" vertical="center"/>
    </xf>
    <xf numFmtId="49" fontId="2" fillId="3" borderId="2" xfId="2" quotePrefix="1" applyNumberFormat="1" applyFont="1" applyFill="1" applyBorder="1" applyAlignment="1">
      <alignment horizontal="center" vertical="center" wrapText="1"/>
    </xf>
    <xf numFmtId="0" fontId="6" fillId="6" borderId="110" xfId="2" applyFont="1" applyFill="1" applyBorder="1" applyAlignment="1">
      <alignment horizontal="center" vertical="center" wrapText="1"/>
    </xf>
    <xf numFmtId="2" fontId="8" fillId="0" borderId="29" xfId="2" applyNumberFormat="1" applyFont="1" applyBorder="1" applyAlignment="1">
      <alignment horizontal="center" vertical="center" wrapText="1" shrinkToFit="1"/>
    </xf>
    <xf numFmtId="2" fontId="7" fillId="0" borderId="60" xfId="0" applyNumberFormat="1" applyFont="1" applyBorder="1" applyAlignment="1">
      <alignment horizontal="center" vertical="center"/>
    </xf>
    <xf numFmtId="2" fontId="7" fillId="0" borderId="43" xfId="0" applyNumberFormat="1" applyFont="1" applyBorder="1" applyAlignment="1">
      <alignment horizontal="center" vertical="center"/>
    </xf>
    <xf numFmtId="2" fontId="8" fillId="0" borderId="26" xfId="2" applyNumberFormat="1" applyFont="1" applyBorder="1" applyAlignment="1">
      <alignment horizontal="center" vertical="center" wrapText="1" shrinkToFit="1"/>
    </xf>
    <xf numFmtId="49" fontId="2" fillId="3" borderId="59" xfId="2" quotePrefix="1" applyNumberFormat="1" applyFont="1" applyFill="1" applyBorder="1" applyAlignment="1">
      <alignment horizontal="center" vertical="center" wrapText="1"/>
    </xf>
    <xf numFmtId="2" fontId="2" fillId="3" borderId="60" xfId="2" quotePrefix="1" applyNumberFormat="1" applyFont="1" applyFill="1" applyBorder="1" applyAlignment="1">
      <alignment horizontal="center" vertical="center" wrapText="1"/>
    </xf>
    <xf numFmtId="2" fontId="8" fillId="0" borderId="60" xfId="2" applyNumberFormat="1" applyFont="1" applyBorder="1" applyAlignment="1">
      <alignment horizontal="center" vertical="center" wrapText="1" shrinkToFit="1"/>
    </xf>
    <xf numFmtId="0" fontId="8" fillId="0" borderId="60" xfId="2" applyFont="1" applyBorder="1" applyAlignment="1">
      <alignment horizontal="center" vertical="center" wrapText="1" shrinkToFit="1"/>
    </xf>
    <xf numFmtId="49" fontId="2" fillId="3" borderId="5" xfId="2" quotePrefix="1" applyNumberFormat="1" applyFont="1" applyFill="1" applyBorder="1" applyAlignment="1">
      <alignment horizontal="center" vertical="center" wrapText="1"/>
    </xf>
    <xf numFmtId="0" fontId="3" fillId="6" borderId="116" xfId="2" applyFont="1" applyFill="1" applyBorder="1" applyAlignment="1">
      <alignment horizontal="center" vertical="center" wrapText="1"/>
    </xf>
    <xf numFmtId="0" fontId="6" fillId="6" borderId="99" xfId="2" applyFont="1" applyFill="1" applyBorder="1" applyAlignment="1">
      <alignment horizontal="center" vertical="center" wrapText="1"/>
    </xf>
    <xf numFmtId="0" fontId="8" fillId="0" borderId="122" xfId="2" applyFont="1" applyBorder="1" applyAlignment="1">
      <alignment horizontal="center" vertical="center" wrapText="1" shrinkToFit="1"/>
    </xf>
    <xf numFmtId="0" fontId="6" fillId="6" borderId="2" xfId="2" applyFont="1" applyFill="1" applyBorder="1" applyAlignment="1">
      <alignment horizontal="center" vertical="center" wrapText="1"/>
    </xf>
    <xf numFmtId="0" fontId="6" fillId="6" borderId="75" xfId="2" applyFont="1" applyFill="1" applyBorder="1" applyAlignment="1">
      <alignment horizontal="center" vertical="center" wrapText="1"/>
    </xf>
    <xf numFmtId="0" fontId="6" fillId="6" borderId="4" xfId="2" applyFont="1" applyFill="1" applyBorder="1" applyAlignment="1">
      <alignment horizontal="center" vertical="center" wrapText="1"/>
    </xf>
    <xf numFmtId="2" fontId="8" fillId="0" borderId="59" xfId="2" applyNumberFormat="1" applyFont="1" applyBorder="1" applyAlignment="1">
      <alignment horizontal="center" vertical="center" wrapText="1" shrinkToFit="1"/>
    </xf>
    <xf numFmtId="0" fontId="8" fillId="0" borderId="125" xfId="2" applyFont="1" applyBorder="1" applyAlignment="1">
      <alignment horizontal="center" vertical="center" wrapText="1" shrinkToFit="1"/>
    </xf>
    <xf numFmtId="49" fontId="7" fillId="0" borderId="61" xfId="0" applyNumberFormat="1" applyFont="1" applyBorder="1" applyAlignment="1">
      <alignment horizontal="center" vertical="center"/>
    </xf>
    <xf numFmtId="49" fontId="7" fillId="0" borderId="7" xfId="0" applyNumberFormat="1" applyFont="1" applyBorder="1" applyAlignment="1">
      <alignment horizontal="center" vertical="center"/>
    </xf>
    <xf numFmtId="1" fontId="8" fillId="0" borderId="5" xfId="2" applyNumberFormat="1" applyFont="1" applyBorder="1" applyAlignment="1">
      <alignment horizontal="center" vertical="center" wrapText="1" shrinkToFit="1"/>
    </xf>
    <xf numFmtId="0" fontId="2" fillId="9" borderId="120" xfId="2" quotePrefix="1" applyFont="1" applyFill="1" applyBorder="1" applyAlignment="1">
      <alignment horizontal="center" vertical="center" wrapText="1"/>
    </xf>
    <xf numFmtId="2" fontId="8" fillId="0" borderId="115" xfId="2" applyNumberFormat="1" applyFont="1" applyBorder="1" applyAlignment="1">
      <alignment horizontal="center" vertical="center" wrapText="1" shrinkToFit="1"/>
    </xf>
    <xf numFmtId="2" fontId="2" fillId="3" borderId="115" xfId="2" quotePrefix="1" applyNumberFormat="1" applyFont="1" applyFill="1" applyBorder="1" applyAlignment="1">
      <alignment horizontal="center" vertical="center" wrapText="1"/>
    </xf>
    <xf numFmtId="0" fontId="8" fillId="0" borderId="126" xfId="2" applyFont="1" applyBorder="1" applyAlignment="1">
      <alignment horizontal="center" vertical="center" wrapText="1" shrinkToFit="1"/>
    </xf>
    <xf numFmtId="2" fontId="7" fillId="0" borderId="115" xfId="0" applyNumberFormat="1" applyFont="1" applyBorder="1" applyAlignment="1">
      <alignment horizontal="center" vertical="center"/>
    </xf>
    <xf numFmtId="49" fontId="7" fillId="0" borderId="127" xfId="0" applyNumberFormat="1" applyFont="1" applyBorder="1" applyAlignment="1">
      <alignment horizontal="center" vertical="center"/>
    </xf>
    <xf numFmtId="1" fontId="8" fillId="0" borderId="14" xfId="2" applyNumberFormat="1" applyFont="1" applyBorder="1" applyAlignment="1">
      <alignment horizontal="center" vertical="center" wrapText="1" shrinkToFit="1"/>
    </xf>
    <xf numFmtId="49" fontId="7" fillId="0" borderId="16" xfId="0" applyNumberFormat="1" applyFont="1" applyBorder="1" applyAlignment="1">
      <alignment horizontal="center" vertical="center"/>
    </xf>
    <xf numFmtId="0" fontId="6" fillId="0" borderId="118" xfId="0" applyFont="1" applyBorder="1" applyAlignment="1">
      <alignment horizontal="center" vertical="center"/>
    </xf>
    <xf numFmtId="0" fontId="6" fillId="0" borderId="20" xfId="0" applyFont="1" applyBorder="1" applyAlignment="1">
      <alignment horizontal="center" vertical="center"/>
    </xf>
    <xf numFmtId="2" fontId="6" fillId="0" borderId="124" xfId="0" applyNumberFormat="1" applyFont="1" applyBorder="1" applyAlignment="1">
      <alignment horizontal="center" vertical="center"/>
    </xf>
    <xf numFmtId="0" fontId="6" fillId="0" borderId="119" xfId="0" applyFont="1" applyBorder="1" applyAlignment="1">
      <alignment horizontal="center" vertical="center"/>
    </xf>
    <xf numFmtId="0" fontId="6" fillId="0" borderId="0" xfId="0" applyFont="1" applyAlignment="1">
      <alignment horizontal="center" vertical="center"/>
    </xf>
    <xf numFmtId="2" fontId="6" fillId="0" borderId="0" xfId="0" applyNumberFormat="1" applyFont="1" applyAlignment="1">
      <alignment horizontal="center" vertical="center"/>
    </xf>
    <xf numFmtId="0" fontId="8" fillId="3" borderId="40" xfId="2" applyFont="1" applyFill="1" applyBorder="1" applyAlignment="1">
      <alignment horizontal="center" vertical="center" wrapText="1" shrinkToFit="1"/>
    </xf>
    <xf numFmtId="164" fontId="10" fillId="0" borderId="13" xfId="3" applyFont="1" applyFill="1" applyBorder="1" applyAlignment="1" applyProtection="1">
      <alignment horizontal="center" vertical="center"/>
    </xf>
    <xf numFmtId="0" fontId="7" fillId="0" borderId="0" xfId="2" applyFont="1" applyAlignment="1">
      <alignment vertical="center" wrapText="1"/>
    </xf>
    <xf numFmtId="44" fontId="0" fillId="0" borderId="0" xfId="134" applyFont="1"/>
    <xf numFmtId="0" fontId="2" fillId="3" borderId="43" xfId="2" quotePrefix="1" applyFont="1" applyFill="1" applyBorder="1" applyAlignment="1">
      <alignment horizontal="center" vertical="center" wrapText="1"/>
    </xf>
    <xf numFmtId="164" fontId="2" fillId="0" borderId="16" xfId="3" applyFont="1" applyFill="1" applyBorder="1" applyAlignment="1" applyProtection="1">
      <alignment horizontal="center" vertical="center"/>
    </xf>
    <xf numFmtId="0" fontId="7" fillId="0" borderId="127" xfId="2" applyFont="1" applyBorder="1" applyAlignment="1">
      <alignment horizontal="center" vertical="center" wrapText="1"/>
    </xf>
    <xf numFmtId="1" fontId="6" fillId="0" borderId="115" xfId="2" applyNumberFormat="1" applyFont="1" applyBorder="1" applyAlignment="1">
      <alignment horizontal="center" vertical="center" wrapText="1"/>
    </xf>
    <xf numFmtId="185" fontId="7" fillId="0" borderId="6" xfId="136" applyNumberFormat="1" applyFont="1" applyFill="1" applyBorder="1" applyAlignment="1">
      <alignment horizontal="center" vertical="center" wrapText="1"/>
    </xf>
    <xf numFmtId="166" fontId="32" fillId="6" borderId="7" xfId="2" quotePrefix="1" applyNumberFormat="1" applyFont="1" applyFill="1" applyBorder="1" applyAlignment="1">
      <alignment horizontal="center" vertical="center"/>
    </xf>
    <xf numFmtId="166" fontId="9" fillId="3" borderId="7" xfId="2" quotePrefix="1" applyNumberFormat="1" applyFont="1" applyFill="1" applyBorder="1" applyAlignment="1">
      <alignment horizontal="center" vertical="center"/>
    </xf>
    <xf numFmtId="166" fontId="9" fillId="3" borderId="16" xfId="2" quotePrefix="1" applyNumberFormat="1" applyFont="1" applyFill="1" applyBorder="1" applyAlignment="1">
      <alignment horizontal="center" vertical="center"/>
    </xf>
    <xf numFmtId="188" fontId="2" fillId="3" borderId="0" xfId="133" applyNumberFormat="1" applyFont="1" applyFill="1" applyAlignment="1">
      <alignment horizontal="center" vertical="center" wrapText="1"/>
    </xf>
    <xf numFmtId="188" fontId="3" fillId="3" borderId="0" xfId="133" applyNumberFormat="1" applyFont="1" applyFill="1" applyAlignment="1">
      <alignment horizontal="center" vertical="center" wrapText="1"/>
    </xf>
    <xf numFmtId="188" fontId="3" fillId="3" borderId="21" xfId="133" applyNumberFormat="1" applyFont="1" applyFill="1" applyBorder="1" applyAlignment="1">
      <alignment horizontal="center" vertical="center" wrapText="1"/>
    </xf>
    <xf numFmtId="188" fontId="6" fillId="6" borderId="26" xfId="133" applyNumberFormat="1" applyFont="1" applyFill="1" applyBorder="1" applyAlignment="1">
      <alignment horizontal="center" vertical="center" wrapText="1"/>
    </xf>
    <xf numFmtId="188" fontId="3" fillId="6" borderId="6" xfId="133" applyNumberFormat="1" applyFont="1" applyFill="1" applyBorder="1" applyAlignment="1">
      <alignment horizontal="center" vertical="center" wrapText="1"/>
    </xf>
    <xf numFmtId="188" fontId="2" fillId="0" borderId="6" xfId="133" applyNumberFormat="1" applyFont="1" applyBorder="1" applyAlignment="1">
      <alignment horizontal="center" vertical="center" wrapText="1"/>
    </xf>
    <xf numFmtId="188" fontId="2" fillId="0" borderId="15" xfId="133" applyNumberFormat="1" applyFont="1" applyBorder="1" applyAlignment="1">
      <alignment horizontal="center" vertical="center" wrapText="1"/>
    </xf>
    <xf numFmtId="188" fontId="9" fillId="3" borderId="0" xfId="133" applyNumberFormat="1" applyFont="1" applyFill="1" applyAlignment="1">
      <alignment horizontal="center" vertical="center" wrapText="1"/>
    </xf>
    <xf numFmtId="188" fontId="6" fillId="6" borderId="12" xfId="133" applyNumberFormat="1" applyFont="1" applyFill="1" applyBorder="1" applyAlignment="1">
      <alignment horizontal="center" vertical="center" wrapText="1"/>
    </xf>
    <xf numFmtId="188" fontId="2" fillId="3" borderId="6" xfId="133" applyNumberFormat="1" applyFont="1" applyFill="1" applyBorder="1" applyAlignment="1">
      <alignment horizontal="center" vertical="center" wrapText="1"/>
    </xf>
    <xf numFmtId="188" fontId="3" fillId="6" borderId="12" xfId="133" applyNumberFormat="1" applyFont="1" applyFill="1" applyBorder="1" applyAlignment="1">
      <alignment horizontal="center" vertical="center" wrapText="1"/>
    </xf>
    <xf numFmtId="188" fontId="2" fillId="0" borderId="6" xfId="133" applyNumberFormat="1" applyFont="1" applyFill="1" applyBorder="1" applyAlignment="1">
      <alignment horizontal="center" vertical="center" wrapText="1" shrinkToFit="1"/>
    </xf>
    <xf numFmtId="188" fontId="2" fillId="0" borderId="6" xfId="133" applyNumberFormat="1" applyFont="1" applyBorder="1" applyAlignment="1">
      <alignment horizontal="center" vertical="center" wrapText="1" shrinkToFit="1"/>
    </xf>
    <xf numFmtId="188" fontId="2" fillId="0" borderId="15" xfId="133" applyNumberFormat="1" applyFont="1" applyBorder="1" applyAlignment="1">
      <alignment horizontal="center" vertical="center" wrapText="1" shrinkToFit="1"/>
    </xf>
    <xf numFmtId="188" fontId="9" fillId="0" borderId="0" xfId="133" applyNumberFormat="1" applyFont="1" applyAlignment="1">
      <alignment horizontal="center" vertical="center" wrapText="1"/>
    </xf>
    <xf numFmtId="188" fontId="4" fillId="6" borderId="12" xfId="133" quotePrefix="1" applyNumberFormat="1" applyFont="1" applyFill="1" applyBorder="1" applyAlignment="1">
      <alignment horizontal="center" vertical="center"/>
    </xf>
    <xf numFmtId="188" fontId="8" fillId="3" borderId="0" xfId="133" quotePrefix="1" applyNumberFormat="1" applyFont="1" applyFill="1" applyAlignment="1">
      <alignment horizontal="center" vertical="center"/>
    </xf>
    <xf numFmtId="188" fontId="8" fillId="0" borderId="6" xfId="133" applyNumberFormat="1" applyFont="1" applyBorder="1" applyAlignment="1">
      <alignment horizontal="center" vertical="center" wrapText="1" shrinkToFit="1"/>
    </xf>
    <xf numFmtId="188" fontId="4" fillId="3" borderId="0" xfId="133" applyNumberFormat="1" applyFont="1" applyFill="1" applyAlignment="1">
      <alignment horizontal="center" vertical="center"/>
    </xf>
    <xf numFmtId="188" fontId="4" fillId="6" borderId="6" xfId="133" quotePrefix="1" applyNumberFormat="1" applyFont="1" applyFill="1" applyBorder="1" applyAlignment="1">
      <alignment horizontal="center" vertical="center"/>
    </xf>
    <xf numFmtId="188" fontId="8" fillId="0" borderId="15" xfId="133" applyNumberFormat="1" applyFont="1" applyBorder="1" applyAlignment="1">
      <alignment horizontal="center" vertical="center" wrapText="1"/>
    </xf>
    <xf numFmtId="188" fontId="8" fillId="0" borderId="6" xfId="133" applyNumberFormat="1" applyFont="1" applyBorder="1" applyAlignment="1">
      <alignment horizontal="center" vertical="center" wrapText="1"/>
    </xf>
    <xf numFmtId="188" fontId="8" fillId="0" borderId="29" xfId="133" applyNumberFormat="1" applyFont="1" applyBorder="1" applyAlignment="1">
      <alignment horizontal="center" vertical="center" wrapText="1"/>
    </xf>
    <xf numFmtId="188" fontId="5" fillId="6" borderId="12" xfId="133" applyNumberFormat="1" applyFont="1" applyFill="1" applyBorder="1" applyAlignment="1">
      <alignment horizontal="center" vertical="center" wrapText="1"/>
    </xf>
    <xf numFmtId="188" fontId="7" fillId="0" borderId="55" xfId="133" applyNumberFormat="1" applyFont="1" applyBorder="1" applyAlignment="1">
      <alignment horizontal="center" vertical="center" wrapText="1"/>
    </xf>
    <xf numFmtId="188" fontId="5" fillId="6" borderId="6" xfId="133" applyNumberFormat="1" applyFont="1" applyFill="1" applyBorder="1" applyAlignment="1">
      <alignment horizontal="center" vertical="center" wrapText="1"/>
    </xf>
    <xf numFmtId="188" fontId="7" fillId="0" borderId="57" xfId="133" applyNumberFormat="1" applyFont="1" applyBorder="1" applyAlignment="1">
      <alignment horizontal="center" vertical="center" wrapText="1"/>
    </xf>
    <xf numFmtId="188" fontId="8" fillId="0" borderId="54" xfId="133" applyNumberFormat="1" applyFont="1" applyBorder="1" applyAlignment="1">
      <alignment horizontal="center" vertical="center" wrapText="1"/>
    </xf>
    <xf numFmtId="188" fontId="8" fillId="0" borderId="57" xfId="133" applyNumberFormat="1" applyFont="1" applyBorder="1" applyAlignment="1">
      <alignment horizontal="center" vertical="center" wrapText="1"/>
    </xf>
    <xf numFmtId="188" fontId="8" fillId="3" borderId="0" xfId="133" applyNumberFormat="1" applyFont="1" applyFill="1" applyAlignment="1">
      <alignment horizontal="center" vertical="center"/>
    </xf>
    <xf numFmtId="188" fontId="7" fillId="0" borderId="6" xfId="133" applyNumberFormat="1" applyFont="1" applyBorder="1" applyAlignment="1">
      <alignment horizontal="center" vertical="center" wrapText="1"/>
    </xf>
    <xf numFmtId="188" fontId="7" fillId="0" borderId="98" xfId="133" applyNumberFormat="1" applyFont="1" applyBorder="1" applyAlignment="1">
      <alignment horizontal="center" vertical="center" wrapText="1"/>
    </xf>
    <xf numFmtId="188" fontId="5" fillId="6" borderId="40" xfId="133" applyNumberFormat="1" applyFont="1" applyFill="1" applyBorder="1" applyAlignment="1">
      <alignment horizontal="center" vertical="center" wrapText="1"/>
    </xf>
    <xf numFmtId="188" fontId="2" fillId="3" borderId="6" xfId="133" quotePrefix="1" applyNumberFormat="1" applyFont="1" applyFill="1" applyBorder="1" applyAlignment="1">
      <alignment horizontal="center" vertical="center" wrapText="1"/>
    </xf>
    <xf numFmtId="188" fontId="2" fillId="3" borderId="15" xfId="133" quotePrefix="1" applyNumberFormat="1" applyFont="1" applyFill="1" applyBorder="1" applyAlignment="1">
      <alignment horizontal="center" vertical="center" wrapText="1"/>
    </xf>
    <xf numFmtId="0" fontId="5" fillId="8" borderId="18" xfId="133" applyNumberFormat="1" applyFont="1" applyFill="1" applyBorder="1" applyAlignment="1">
      <alignment horizontal="center" vertical="center" wrapText="1"/>
    </xf>
    <xf numFmtId="186" fontId="2" fillId="0" borderId="29" xfId="1" applyNumberFormat="1" applyFont="1" applyFill="1" applyBorder="1" applyAlignment="1" applyProtection="1">
      <alignment horizontal="center" vertical="center" wrapText="1"/>
    </xf>
    <xf numFmtId="186" fontId="2" fillId="0" borderId="6" xfId="1" applyNumberFormat="1" applyFont="1" applyFill="1" applyBorder="1" applyAlignment="1" applyProtection="1">
      <alignment horizontal="center" vertical="center" wrapText="1"/>
    </xf>
    <xf numFmtId="186" fontId="2" fillId="0" borderId="15" xfId="1" applyNumberFormat="1" applyFont="1" applyFill="1" applyBorder="1" applyAlignment="1" applyProtection="1">
      <alignment horizontal="center" vertical="center" wrapText="1"/>
    </xf>
    <xf numFmtId="186" fontId="2" fillId="3" borderId="6" xfId="1" applyNumberFormat="1" applyFont="1" applyFill="1" applyBorder="1" applyAlignment="1">
      <alignment horizontal="center" vertical="center"/>
    </xf>
    <xf numFmtId="186" fontId="2" fillId="3" borderId="15" xfId="1" applyNumberFormat="1" applyFont="1" applyFill="1" applyBorder="1" applyAlignment="1">
      <alignment horizontal="center" vertical="center"/>
    </xf>
    <xf numFmtId="186" fontId="2" fillId="0" borderId="12" xfId="1" applyNumberFormat="1" applyFont="1" applyFill="1" applyBorder="1" applyAlignment="1" applyProtection="1">
      <alignment horizontal="center" vertical="center" wrapText="1"/>
    </xf>
    <xf numFmtId="186" fontId="2" fillId="3" borderId="6" xfId="1" applyNumberFormat="1" applyFont="1" applyFill="1" applyBorder="1" applyAlignment="1" applyProtection="1">
      <alignment horizontal="center" vertical="center" wrapText="1"/>
    </xf>
    <xf numFmtId="186" fontId="2" fillId="3" borderId="29" xfId="1" applyNumberFormat="1" applyFont="1" applyFill="1" applyBorder="1" applyAlignment="1" applyProtection="1">
      <alignment horizontal="center" vertical="center" wrapText="1"/>
    </xf>
    <xf numFmtId="186" fontId="8" fillId="3" borderId="55" xfId="1" applyNumberFormat="1" applyFont="1" applyFill="1" applyBorder="1" applyAlignment="1" applyProtection="1">
      <alignment horizontal="center" vertical="center" wrapText="1"/>
    </xf>
    <xf numFmtId="186" fontId="8" fillId="3" borderId="56" xfId="1" applyNumberFormat="1" applyFont="1" applyFill="1" applyBorder="1" applyAlignment="1" applyProtection="1">
      <alignment horizontal="center" vertical="center" wrapText="1"/>
    </xf>
    <xf numFmtId="186" fontId="8" fillId="3" borderId="57" xfId="1" applyNumberFormat="1" applyFont="1" applyFill="1" applyBorder="1" applyAlignment="1" applyProtection="1">
      <alignment horizontal="center" vertical="center" wrapText="1"/>
    </xf>
    <xf numFmtId="186" fontId="2" fillId="3" borderId="57" xfId="1" applyNumberFormat="1" applyFont="1" applyFill="1" applyBorder="1" applyAlignment="1" applyProtection="1">
      <alignment horizontal="center" vertical="center" wrapText="1"/>
    </xf>
    <xf numFmtId="186" fontId="2" fillId="0" borderId="50" xfId="1" applyNumberFormat="1" applyFont="1" applyFill="1" applyBorder="1" applyAlignment="1" applyProtection="1">
      <alignment horizontal="center" vertical="center" wrapText="1"/>
    </xf>
    <xf numFmtId="186" fontId="2" fillId="3" borderId="6" xfId="1" quotePrefix="1" applyNumberFormat="1" applyFont="1" applyFill="1" applyBorder="1" applyAlignment="1">
      <alignment horizontal="center" vertical="center"/>
    </xf>
    <xf numFmtId="186" fontId="2" fillId="3" borderId="29" xfId="1" quotePrefix="1" applyNumberFormat="1" applyFont="1" applyFill="1" applyBorder="1" applyAlignment="1">
      <alignment horizontal="center" vertical="center"/>
    </xf>
    <xf numFmtId="186" fontId="2" fillId="0" borderId="15" xfId="1" quotePrefix="1" applyNumberFormat="1" applyFont="1" applyBorder="1" applyAlignment="1">
      <alignment horizontal="center" vertical="center"/>
    </xf>
    <xf numFmtId="186" fontId="2" fillId="3" borderId="15" xfId="1" applyNumberFormat="1" applyFont="1" applyFill="1" applyBorder="1" applyAlignment="1" applyProtection="1">
      <alignment horizontal="center" vertical="center" wrapText="1"/>
    </xf>
    <xf numFmtId="0" fontId="3" fillId="3" borderId="79" xfId="2" applyFont="1" applyFill="1" applyBorder="1" applyAlignment="1">
      <alignment horizontal="center" vertical="center" wrapText="1"/>
    </xf>
    <xf numFmtId="188" fontId="3" fillId="3" borderId="79" xfId="133" applyNumberFormat="1" applyFont="1" applyFill="1" applyBorder="1" applyAlignment="1">
      <alignment horizontal="center" vertical="center" wrapText="1"/>
    </xf>
    <xf numFmtId="164" fontId="3" fillId="3" borderId="79" xfId="3" applyFont="1" applyFill="1" applyBorder="1" applyAlignment="1" applyProtection="1">
      <alignment horizontal="center" vertical="center" wrapText="1"/>
    </xf>
    <xf numFmtId="188" fontId="2" fillId="0" borderId="6" xfId="133" applyNumberFormat="1" applyFont="1" applyFill="1" applyBorder="1" applyAlignment="1">
      <alignment horizontal="center" vertical="center" wrapText="1"/>
    </xf>
    <xf numFmtId="186" fontId="8" fillId="3" borderId="6" xfId="1" applyNumberFormat="1" applyFont="1" applyFill="1" applyBorder="1" applyAlignment="1" applyProtection="1">
      <alignment horizontal="center" vertical="center" wrapText="1"/>
    </xf>
    <xf numFmtId="188" fontId="2" fillId="0" borderId="29" xfId="133" applyNumberFormat="1" applyFont="1" applyFill="1" applyBorder="1" applyAlignment="1">
      <alignment horizontal="center" vertical="center" wrapText="1"/>
    </xf>
    <xf numFmtId="0" fontId="3" fillId="6" borderId="31" xfId="2" applyFont="1" applyFill="1" applyBorder="1" applyAlignment="1">
      <alignment horizontal="center" vertical="center" wrapText="1"/>
    </xf>
    <xf numFmtId="0" fontId="3" fillId="6" borderId="6" xfId="2" quotePrefix="1" applyFont="1" applyFill="1" applyBorder="1" applyAlignment="1">
      <alignment horizontal="center" vertical="center"/>
    </xf>
    <xf numFmtId="188" fontId="3" fillId="6" borderId="6" xfId="133" quotePrefix="1" applyNumberFormat="1" applyFont="1" applyFill="1" applyBorder="1" applyAlignment="1">
      <alignment horizontal="center" vertical="center"/>
    </xf>
    <xf numFmtId="164" fontId="3" fillId="6" borderId="6" xfId="2" quotePrefix="1" applyNumberFormat="1" applyFont="1" applyFill="1" applyBorder="1" applyAlignment="1">
      <alignment horizontal="center" vertical="center"/>
    </xf>
    <xf numFmtId="186" fontId="2" fillId="0" borderId="6" xfId="1" quotePrefix="1" applyNumberFormat="1" applyFont="1" applyBorder="1" applyAlignment="1">
      <alignment horizontal="center" vertical="center"/>
    </xf>
    <xf numFmtId="0" fontId="2" fillId="0" borderId="15" xfId="2" quotePrefix="1" applyFont="1" applyBorder="1" applyAlignment="1">
      <alignment horizontal="center" vertical="center"/>
    </xf>
    <xf numFmtId="188" fontId="2" fillId="3" borderId="15" xfId="133" applyNumberFormat="1" applyFont="1" applyFill="1" applyBorder="1" applyAlignment="1">
      <alignment horizontal="center" vertical="center" wrapText="1"/>
    </xf>
    <xf numFmtId="0" fontId="3" fillId="6" borderId="6" xfId="110" applyFont="1" applyFill="1" applyBorder="1" applyAlignment="1">
      <alignment horizontal="left" vertical="center" wrapText="1"/>
    </xf>
    <xf numFmtId="0" fontId="8" fillId="0" borderId="15" xfId="2" applyFont="1" applyBorder="1" applyAlignment="1">
      <alignment horizontal="center" vertical="center" wrapText="1" shrinkToFit="1"/>
    </xf>
    <xf numFmtId="188" fontId="2" fillId="0" borderId="15" xfId="133" applyNumberFormat="1" applyFont="1" applyFill="1" applyBorder="1" applyAlignment="1">
      <alignment horizontal="center" vertical="center" wrapText="1"/>
    </xf>
    <xf numFmtId="185" fontId="3" fillId="0" borderId="6" xfId="136" applyNumberFormat="1" applyFont="1" applyFill="1" applyBorder="1" applyAlignment="1">
      <alignment horizontal="center" vertical="center" wrapText="1"/>
    </xf>
    <xf numFmtId="4" fontId="3" fillId="0" borderId="6" xfId="110" applyNumberFormat="1" applyFont="1" applyBorder="1" applyAlignment="1">
      <alignment horizontal="center" vertical="center" wrapText="1"/>
    </xf>
    <xf numFmtId="2" fontId="3" fillId="0" borderId="6" xfId="110" applyNumberFormat="1" applyFont="1" applyBorder="1" applyAlignment="1">
      <alignment horizontal="center" vertical="center" wrapText="1"/>
    </xf>
    <xf numFmtId="185" fontId="2" fillId="0" borderId="6" xfId="136" applyNumberFormat="1" applyFont="1" applyFill="1" applyBorder="1" applyAlignment="1">
      <alignment horizontal="center" vertical="center" wrapText="1"/>
    </xf>
    <xf numFmtId="4" fontId="2" fillId="0" borderId="6" xfId="110" applyNumberFormat="1" applyFont="1" applyBorder="1" applyAlignment="1">
      <alignment horizontal="center" vertical="center" wrapText="1"/>
    </xf>
    <xf numFmtId="2" fontId="2" fillId="0" borderId="6" xfId="110" applyNumberFormat="1" applyFont="1" applyBorder="1" applyAlignment="1">
      <alignment horizontal="center" vertical="center" wrapText="1"/>
    </xf>
    <xf numFmtId="10" fontId="3" fillId="0" borderId="6" xfId="137" applyNumberFormat="1" applyFont="1" applyFill="1" applyBorder="1" applyAlignment="1">
      <alignment horizontal="center" vertical="center" wrapText="1"/>
    </xf>
    <xf numFmtId="186" fontId="3" fillId="0" borderId="6" xfId="137" applyNumberFormat="1" applyFont="1" applyFill="1" applyBorder="1" applyAlignment="1">
      <alignment horizontal="center" vertical="center" wrapText="1"/>
    </xf>
    <xf numFmtId="179" fontId="2" fillId="0" borderId="6" xfId="110" applyNumberFormat="1" applyFont="1" applyBorder="1" applyAlignment="1">
      <alignment horizontal="center" vertical="center" wrapText="1"/>
    </xf>
    <xf numFmtId="0" fontId="5" fillId="7" borderId="89" xfId="2" applyFont="1" applyFill="1" applyBorder="1" applyAlignment="1">
      <alignment horizontal="center" vertical="center" wrapText="1"/>
    </xf>
    <xf numFmtId="0" fontId="5" fillId="7" borderId="91" xfId="2" applyFont="1" applyFill="1" applyBorder="1" applyAlignment="1">
      <alignment horizontal="center" vertical="center" wrapText="1"/>
    </xf>
    <xf numFmtId="0" fontId="5" fillId="7" borderId="92" xfId="2" applyFont="1" applyFill="1" applyBorder="1" applyAlignment="1">
      <alignment horizontal="center" vertical="center" wrapText="1"/>
    </xf>
    <xf numFmtId="0" fontId="7" fillId="0" borderId="7" xfId="2" applyFont="1" applyBorder="1" applyAlignment="1">
      <alignment horizontal="center" vertical="center" wrapText="1"/>
    </xf>
    <xf numFmtId="0" fontId="3" fillId="5" borderId="100" xfId="2" applyFont="1" applyFill="1" applyBorder="1" applyAlignment="1">
      <alignment vertical="center" wrapText="1"/>
    </xf>
    <xf numFmtId="0" fontId="3" fillId="6" borderId="74" xfId="2" applyFont="1" applyFill="1" applyBorder="1" applyAlignment="1">
      <alignment horizontal="center" vertical="center" wrapText="1"/>
    </xf>
    <xf numFmtId="0" fontId="6" fillId="6" borderId="74" xfId="2" applyFont="1" applyFill="1" applyBorder="1" applyAlignment="1">
      <alignment horizontal="center" vertical="center" wrapText="1"/>
    </xf>
    <xf numFmtId="0" fontId="6" fillId="6" borderId="131" xfId="2" applyFont="1" applyFill="1" applyBorder="1" applyAlignment="1">
      <alignment horizontal="center" vertical="center" wrapText="1"/>
    </xf>
    <xf numFmtId="188" fontId="8" fillId="0" borderId="6" xfId="133" quotePrefix="1" applyNumberFormat="1" applyFont="1" applyBorder="1" applyAlignment="1">
      <alignment horizontal="center" vertical="center"/>
    </xf>
    <xf numFmtId="186" fontId="8" fillId="0" borderId="6" xfId="1" quotePrefix="1" applyNumberFormat="1" applyFont="1" applyBorder="1" applyAlignment="1">
      <alignment horizontal="center" vertical="center"/>
    </xf>
    <xf numFmtId="42" fontId="7" fillId="13" borderId="12" xfId="128" applyFont="1" applyFill="1" applyBorder="1"/>
    <xf numFmtId="0" fontId="3" fillId="3" borderId="0" xfId="2" applyFont="1" applyFill="1" applyAlignment="1">
      <alignment horizontal="center" vertical="center"/>
    </xf>
    <xf numFmtId="0" fontId="6" fillId="6" borderId="58" xfId="2" applyFont="1" applyFill="1" applyBorder="1" applyAlignment="1">
      <alignment horizontal="center" vertical="center" wrapText="1"/>
    </xf>
    <xf numFmtId="0" fontId="6" fillId="6" borderId="132" xfId="2" applyFont="1" applyFill="1" applyBorder="1" applyAlignment="1">
      <alignment horizontal="center" vertical="center" wrapText="1"/>
    </xf>
    <xf numFmtId="188" fontId="6" fillId="6" borderId="60" xfId="133" applyNumberFormat="1" applyFont="1" applyFill="1" applyBorder="1" applyAlignment="1">
      <alignment horizontal="center" vertical="center" wrapText="1"/>
    </xf>
    <xf numFmtId="164" fontId="6" fillId="6" borderId="60" xfId="2" applyNumberFormat="1" applyFont="1" applyFill="1" applyBorder="1" applyAlignment="1">
      <alignment horizontal="center" vertical="center" wrapText="1"/>
    </xf>
    <xf numFmtId="0" fontId="6" fillId="6" borderId="61" xfId="2" applyFont="1" applyFill="1" applyBorder="1" applyAlignment="1">
      <alignment horizontal="center" vertical="center" wrapText="1"/>
    </xf>
    <xf numFmtId="184" fontId="4" fillId="0" borderId="45" xfId="134" quotePrefix="1" applyNumberFormat="1" applyFont="1" applyBorder="1" applyAlignment="1">
      <alignment horizontal="center" vertical="center"/>
    </xf>
    <xf numFmtId="188" fontId="7" fillId="0" borderId="107" xfId="133" applyNumberFormat="1" applyFont="1" applyFill="1" applyBorder="1" applyAlignment="1">
      <alignment horizontal="center" vertical="center" wrapText="1"/>
    </xf>
    <xf numFmtId="188" fontId="7" fillId="0" borderId="50" xfId="133" applyNumberFormat="1" applyFont="1" applyFill="1" applyBorder="1" applyAlignment="1">
      <alignment horizontal="center" vertical="center" wrapText="1"/>
    </xf>
    <xf numFmtId="3" fontId="21" fillId="0" borderId="6" xfId="50" applyNumberFormat="1" applyFont="1" applyBorder="1"/>
    <xf numFmtId="178" fontId="21" fillId="0" borderId="6" xfId="50" applyNumberFormat="1" applyFont="1" applyBorder="1"/>
    <xf numFmtId="4" fontId="21" fillId="0" borderId="55" xfId="50" applyNumberFormat="1" applyFont="1" applyBorder="1"/>
    <xf numFmtId="3" fontId="21" fillId="0" borderId="15" xfId="50" applyNumberFormat="1" applyFont="1" applyBorder="1"/>
    <xf numFmtId="4" fontId="21" fillId="0" borderId="15" xfId="50" applyNumberFormat="1" applyFont="1" applyBorder="1"/>
    <xf numFmtId="4" fontId="21" fillId="0" borderId="57" xfId="50" applyNumberFormat="1" applyFont="1" applyBorder="1"/>
    <xf numFmtId="0" fontId="21" fillId="0" borderId="0" xfId="50" applyFont="1"/>
    <xf numFmtId="0" fontId="20" fillId="0" borderId="0" xfId="50" applyFont="1" applyAlignment="1">
      <alignment horizontal="center"/>
    </xf>
    <xf numFmtId="0" fontId="21" fillId="0" borderId="76" xfId="50" applyFont="1" applyBorder="1" applyAlignment="1">
      <alignment horizontal="center"/>
    </xf>
    <xf numFmtId="0" fontId="21" fillId="0" borderId="75" xfId="50" applyFont="1" applyBorder="1" applyAlignment="1">
      <alignment horizontal="center"/>
    </xf>
    <xf numFmtId="4" fontId="21" fillId="0" borderId="6" xfId="50" applyNumberFormat="1" applyFont="1" applyBorder="1"/>
    <xf numFmtId="4" fontId="21" fillId="0" borderId="16" xfId="50" applyNumberFormat="1" applyFont="1" applyBorder="1"/>
    <xf numFmtId="0" fontId="21" fillId="0" borderId="76" xfId="50" quotePrefix="1" applyFont="1" applyBorder="1" applyAlignment="1">
      <alignment horizontal="center"/>
    </xf>
    <xf numFmtId="0" fontId="21" fillId="0" borderId="3" xfId="50" applyFont="1" applyBorder="1" applyAlignment="1">
      <alignment horizontal="center"/>
    </xf>
    <xf numFmtId="0" fontId="21" fillId="0" borderId="81" xfId="50" applyFont="1" applyBorder="1" applyAlignment="1">
      <alignment horizontal="center"/>
    </xf>
    <xf numFmtId="4" fontId="21" fillId="0" borderId="7" xfId="50" applyNumberFormat="1" applyFont="1" applyBorder="1"/>
    <xf numFmtId="0" fontId="13" fillId="0" borderId="0" xfId="50"/>
    <xf numFmtId="184" fontId="0" fillId="0" borderId="0" xfId="134" applyNumberFormat="1" applyFont="1" applyFill="1"/>
    <xf numFmtId="0" fontId="13" fillId="0" borderId="21" xfId="50" applyBorder="1"/>
    <xf numFmtId="0" fontId="13" fillId="0" borderId="69" xfId="50" applyBorder="1"/>
    <xf numFmtId="0" fontId="22" fillId="0" borderId="0" xfId="50" applyFont="1"/>
    <xf numFmtId="0" fontId="21" fillId="0" borderId="33" xfId="50" applyFont="1" applyBorder="1"/>
    <xf numFmtId="0" fontId="21" fillId="0" borderId="37" xfId="50" applyFont="1" applyBorder="1" applyAlignment="1">
      <alignment horizontal="center"/>
    </xf>
    <xf numFmtId="0" fontId="21" fillId="0" borderId="53" xfId="50" applyFont="1" applyBorder="1" applyAlignment="1">
      <alignment horizontal="center"/>
    </xf>
    <xf numFmtId="0" fontId="21" fillId="0" borderId="48" xfId="50" applyFont="1" applyBorder="1" applyAlignment="1">
      <alignment horizontal="center"/>
    </xf>
    <xf numFmtId="0" fontId="20" fillId="0" borderId="0" xfId="50" quotePrefix="1" applyFont="1" applyAlignment="1">
      <alignment horizontal="left"/>
    </xf>
    <xf numFmtId="0" fontId="20" fillId="0" borderId="0" xfId="50" applyFont="1"/>
    <xf numFmtId="0" fontId="21" fillId="0" borderId="73" xfId="50" applyFont="1" applyBorder="1"/>
    <xf numFmtId="0" fontId="21" fillId="0" borderId="72" xfId="50" applyFont="1" applyBorder="1" applyAlignment="1">
      <alignment horizontal="left"/>
    </xf>
    <xf numFmtId="3" fontId="21" fillId="0" borderId="6" xfId="50" applyNumberFormat="1" applyFont="1" applyBorder="1" applyAlignment="1">
      <alignment horizontal="center"/>
    </xf>
    <xf numFmtId="0" fontId="21" fillId="0" borderId="24" xfId="50" applyFont="1" applyBorder="1"/>
    <xf numFmtId="3" fontId="21" fillId="0" borderId="29" xfId="50" applyNumberFormat="1" applyFont="1" applyBorder="1" applyAlignment="1">
      <alignment horizontal="center"/>
    </xf>
    <xf numFmtId="3" fontId="21" fillId="0" borderId="29" xfId="50" applyNumberFormat="1" applyFont="1" applyBorder="1"/>
    <xf numFmtId="0" fontId="21" fillId="0" borderId="78" xfId="50" applyFont="1" applyBorder="1" applyAlignment="1">
      <alignment horizontal="left"/>
    </xf>
    <xf numFmtId="3" fontId="21" fillId="0" borderId="15" xfId="50" applyNumberFormat="1" applyFont="1" applyBorder="1" applyAlignment="1">
      <alignment horizontal="center"/>
    </xf>
    <xf numFmtId="0" fontId="21" fillId="0" borderId="36" xfId="50" applyFont="1" applyBorder="1"/>
    <xf numFmtId="4" fontId="21" fillId="0" borderId="44" xfId="50" applyNumberFormat="1" applyFont="1" applyBorder="1"/>
    <xf numFmtId="0" fontId="21" fillId="0" borderId="77" xfId="50" applyFont="1" applyBorder="1"/>
    <xf numFmtId="0" fontId="21" fillId="0" borderId="32" xfId="50" applyFont="1" applyBorder="1"/>
    <xf numFmtId="0" fontId="21" fillId="0" borderId="72" xfId="50" applyFont="1" applyBorder="1"/>
    <xf numFmtId="179" fontId="21" fillId="0" borderId="6" xfId="50" applyNumberFormat="1" applyFont="1" applyBorder="1"/>
    <xf numFmtId="9" fontId="21" fillId="0" borderId="32" xfId="50" applyNumberFormat="1" applyFont="1" applyBorder="1" applyAlignment="1">
      <alignment horizontal="center"/>
    </xf>
    <xf numFmtId="0" fontId="21" fillId="0" borderId="37" xfId="50" applyFont="1" applyBorder="1"/>
    <xf numFmtId="0" fontId="21" fillId="0" borderId="53" xfId="50" applyFont="1" applyBorder="1"/>
    <xf numFmtId="0" fontId="21" fillId="0" borderId="47" xfId="50" applyFont="1" applyBorder="1"/>
    <xf numFmtId="0" fontId="21" fillId="0" borderId="35" xfId="50" applyFont="1" applyBorder="1" applyAlignment="1">
      <alignment horizontal="center"/>
    </xf>
    <xf numFmtId="0" fontId="21" fillId="0" borderId="2" xfId="50" applyFont="1" applyBorder="1" applyAlignment="1">
      <alignment horizontal="center"/>
    </xf>
    <xf numFmtId="0" fontId="21" fillId="0" borderId="69" xfId="50" applyFont="1" applyBorder="1"/>
    <xf numFmtId="0" fontId="21" fillId="0" borderId="5" xfId="50" applyFont="1" applyBorder="1"/>
    <xf numFmtId="181" fontId="21" fillId="0" borderId="6" xfId="81" applyNumberFormat="1" applyFont="1" applyFill="1" applyBorder="1"/>
    <xf numFmtId="9" fontId="21" fillId="0" borderId="6" xfId="82" applyFont="1" applyFill="1" applyBorder="1" applyAlignment="1">
      <alignment horizontal="center"/>
    </xf>
    <xf numFmtId="0" fontId="21" fillId="0" borderId="42" xfId="50" applyFont="1" applyBorder="1"/>
    <xf numFmtId="0" fontId="21" fillId="0" borderId="48" xfId="50" applyFont="1" applyBorder="1"/>
    <xf numFmtId="0" fontId="21" fillId="0" borderId="0" xfId="50" applyFont="1" applyAlignment="1">
      <alignment horizontal="center"/>
    </xf>
    <xf numFmtId="0" fontId="20" fillId="0" borderId="0" xfId="50" applyFont="1" applyAlignment="1">
      <alignment horizontal="centerContinuous"/>
    </xf>
    <xf numFmtId="0" fontId="21" fillId="0" borderId="0" xfId="50" applyFont="1" applyAlignment="1">
      <alignment horizontal="centerContinuous"/>
    </xf>
    <xf numFmtId="4" fontId="0" fillId="0" borderId="0" xfId="0" applyNumberFormat="1"/>
    <xf numFmtId="0" fontId="21" fillId="0" borderId="2" xfId="50" applyFont="1" applyBorder="1" applyAlignment="1">
      <alignment horizontal="centerContinuous"/>
    </xf>
    <xf numFmtId="0" fontId="21" fillId="0" borderId="21" xfId="50" applyFont="1" applyBorder="1" applyAlignment="1">
      <alignment horizontal="centerContinuous"/>
    </xf>
    <xf numFmtId="0" fontId="21" fillId="0" borderId="80" xfId="50" applyFont="1" applyBorder="1" applyAlignment="1">
      <alignment horizontal="centerContinuous"/>
    </xf>
    <xf numFmtId="0" fontId="21" fillId="0" borderId="80" xfId="50" applyFont="1" applyBorder="1" applyAlignment="1">
      <alignment horizontal="center"/>
    </xf>
    <xf numFmtId="0" fontId="21" fillId="0" borderId="21" xfId="50" applyFont="1" applyBorder="1" applyAlignment="1">
      <alignment horizontal="center"/>
    </xf>
    <xf numFmtId="9" fontId="21" fillId="0" borderId="32" xfId="50" applyNumberFormat="1" applyFont="1" applyBorder="1"/>
    <xf numFmtId="4" fontId="21" fillId="0" borderId="77" xfId="50" applyNumberFormat="1" applyFont="1" applyBorder="1"/>
    <xf numFmtId="9" fontId="21" fillId="0" borderId="15" xfId="50" applyNumberFormat="1" applyFont="1" applyBorder="1"/>
    <xf numFmtId="4" fontId="21" fillId="0" borderId="53" xfId="50" applyNumberFormat="1" applyFont="1" applyBorder="1"/>
    <xf numFmtId="4" fontId="21" fillId="0" borderId="36" xfId="50" applyNumberFormat="1" applyFont="1" applyBorder="1"/>
    <xf numFmtId="4" fontId="21" fillId="0" borderId="29" xfId="50" applyNumberFormat="1" applyFont="1" applyBorder="1"/>
    <xf numFmtId="0" fontId="21" fillId="0" borderId="77" xfId="50" applyFont="1" applyBorder="1" applyAlignment="1">
      <alignment horizontal="center"/>
    </xf>
    <xf numFmtId="0" fontId="21" fillId="0" borderId="78" xfId="50" applyFont="1" applyBorder="1"/>
    <xf numFmtId="0" fontId="21" fillId="0" borderId="79" xfId="50" applyFont="1" applyBorder="1"/>
    <xf numFmtId="0" fontId="21" fillId="0" borderId="35" xfId="50" applyFont="1" applyBorder="1"/>
    <xf numFmtId="178" fontId="21" fillId="0" borderId="15" xfId="50" applyNumberFormat="1" applyFont="1" applyBorder="1"/>
    <xf numFmtId="184" fontId="0" fillId="0" borderId="0" xfId="0" applyNumberFormat="1"/>
    <xf numFmtId="3" fontId="21" fillId="0" borderId="12" xfId="50" applyNumberFormat="1" applyFont="1" applyBorder="1" applyAlignment="1">
      <alignment horizontal="center"/>
    </xf>
    <xf numFmtId="4" fontId="21" fillId="0" borderId="16" xfId="50" applyNumberFormat="1" applyFont="1" applyBorder="1" applyAlignment="1">
      <alignment vertical="center"/>
    </xf>
    <xf numFmtId="3" fontId="21" fillId="0" borderId="15" xfId="50" applyNumberFormat="1" applyFont="1" applyBorder="1" applyAlignment="1">
      <alignment horizontal="center" vertical="center"/>
    </xf>
    <xf numFmtId="4" fontId="21" fillId="0" borderId="15" xfId="50" applyNumberFormat="1" applyFont="1" applyBorder="1" applyAlignment="1">
      <alignment vertical="center"/>
    </xf>
    <xf numFmtId="0" fontId="22" fillId="0" borderId="53" xfId="144" applyFont="1" applyBorder="1"/>
    <xf numFmtId="0" fontId="21" fillId="0" borderId="53" xfId="144" applyFont="1" applyBorder="1"/>
    <xf numFmtId="0" fontId="21" fillId="0" borderId="0" xfId="144" applyFont="1"/>
    <xf numFmtId="0" fontId="21" fillId="0" borderId="85" xfId="144" applyFont="1" applyBorder="1"/>
    <xf numFmtId="0" fontId="21" fillId="0" borderId="64" xfId="144" applyFont="1" applyBorder="1"/>
    <xf numFmtId="0" fontId="21" fillId="0" borderId="12" xfId="144" applyFont="1" applyBorder="1"/>
    <xf numFmtId="0" fontId="21" fillId="0" borderId="76" xfId="144" applyFont="1" applyBorder="1" applyAlignment="1">
      <alignment horizontal="center"/>
    </xf>
    <xf numFmtId="0" fontId="21" fillId="0" borderId="81" xfId="144" applyFont="1" applyBorder="1" applyAlignment="1">
      <alignment horizontal="center"/>
    </xf>
    <xf numFmtId="0" fontId="21" fillId="0" borderId="73" xfId="144" applyFont="1" applyBorder="1"/>
    <xf numFmtId="3" fontId="21" fillId="0" borderId="6" xfId="144" applyNumberFormat="1" applyFont="1" applyBorder="1" applyAlignment="1">
      <alignment horizontal="center" vertical="center"/>
    </xf>
    <xf numFmtId="179" fontId="21" fillId="0" borderId="6" xfId="144" applyNumberFormat="1" applyFont="1" applyBorder="1" applyAlignment="1">
      <alignment horizontal="center" vertical="center"/>
    </xf>
    <xf numFmtId="4" fontId="21" fillId="0" borderId="6" xfId="144" applyNumberFormat="1" applyFont="1" applyBorder="1" applyAlignment="1">
      <alignment vertical="center"/>
    </xf>
    <xf numFmtId="0" fontId="21" fillId="0" borderId="24" xfId="144" applyFont="1" applyBorder="1" applyAlignment="1">
      <alignment vertical="center"/>
    </xf>
    <xf numFmtId="0" fontId="0" fillId="0" borderId="0" xfId="0" applyAlignment="1">
      <alignment vertical="center"/>
    </xf>
    <xf numFmtId="0" fontId="21" fillId="0" borderId="72" xfId="144" applyFont="1" applyBorder="1"/>
    <xf numFmtId="0" fontId="21" fillId="0" borderId="77" xfId="144" applyFont="1" applyBorder="1"/>
    <xf numFmtId="2" fontId="21" fillId="0" borderId="6" xfId="144" applyNumberFormat="1" applyFont="1" applyBorder="1" applyAlignment="1">
      <alignment horizontal="center"/>
    </xf>
    <xf numFmtId="3" fontId="21" fillId="0" borderId="6" xfId="144" applyNumberFormat="1" applyFont="1" applyBorder="1" applyAlignment="1">
      <alignment horizontal="center"/>
    </xf>
    <xf numFmtId="179" fontId="21" fillId="0" borderId="6" xfId="144" applyNumberFormat="1" applyFont="1" applyBorder="1"/>
    <xf numFmtId="3" fontId="21" fillId="0" borderId="6" xfId="144" applyNumberFormat="1" applyFont="1" applyBorder="1"/>
    <xf numFmtId="4" fontId="21" fillId="0" borderId="6" xfId="144" applyNumberFormat="1" applyFont="1" applyBorder="1"/>
    <xf numFmtId="0" fontId="21" fillId="0" borderId="24" xfId="144" applyFont="1" applyBorder="1"/>
    <xf numFmtId="0" fontId="21" fillId="0" borderId="78" xfId="144" applyFont="1" applyBorder="1"/>
    <xf numFmtId="0" fontId="21" fillId="0" borderId="35" xfId="144" applyFont="1" applyBorder="1"/>
    <xf numFmtId="3" fontId="21" fillId="0" borderId="15" xfId="144" applyNumberFormat="1" applyFont="1" applyBorder="1" applyAlignment="1">
      <alignment horizontal="center"/>
    </xf>
    <xf numFmtId="3" fontId="21" fillId="0" borderId="15" xfId="144" applyNumberFormat="1" applyFont="1" applyBorder="1"/>
    <xf numFmtId="4" fontId="21" fillId="0" borderId="15" xfId="144" applyNumberFormat="1" applyFont="1" applyBorder="1"/>
    <xf numFmtId="4" fontId="21" fillId="0" borderId="57" xfId="144" applyNumberFormat="1" applyFont="1" applyBorder="1"/>
    <xf numFmtId="0" fontId="20" fillId="0" borderId="0" xfId="144" applyFont="1" applyAlignment="1">
      <alignment horizontal="center"/>
    </xf>
    <xf numFmtId="4" fontId="21" fillId="0" borderId="44" xfId="144" applyNumberFormat="1" applyFont="1" applyBorder="1"/>
    <xf numFmtId="0" fontId="21" fillId="0" borderId="5" xfId="144" applyFont="1" applyBorder="1"/>
    <xf numFmtId="0" fontId="21" fillId="0" borderId="32" xfId="144" applyFont="1" applyBorder="1"/>
    <xf numFmtId="179" fontId="21" fillId="0" borderId="6" xfId="144" applyNumberFormat="1" applyFont="1" applyBorder="1" applyAlignment="1">
      <alignment horizontal="center"/>
    </xf>
    <xf numFmtId="4" fontId="21" fillId="0" borderId="0" xfId="50" applyNumberFormat="1" applyFont="1"/>
    <xf numFmtId="0" fontId="21" fillId="0" borderId="32" xfId="50" applyFont="1" applyBorder="1" applyAlignment="1">
      <alignment horizontal="center"/>
    </xf>
    <xf numFmtId="178" fontId="21" fillId="0" borderId="6" xfId="144" applyNumberFormat="1" applyFont="1" applyBorder="1"/>
    <xf numFmtId="2" fontId="21" fillId="0" borderId="6" xfId="144" applyNumberFormat="1" applyFont="1" applyBorder="1"/>
    <xf numFmtId="43" fontId="0" fillId="0" borderId="0" xfId="133" applyFont="1" applyFill="1"/>
    <xf numFmtId="3" fontId="21" fillId="0" borderId="0" xfId="50" applyNumberFormat="1" applyFont="1"/>
    <xf numFmtId="186" fontId="0" fillId="0" borderId="0" xfId="1" applyNumberFormat="1" applyFont="1" applyFill="1"/>
    <xf numFmtId="9" fontId="13" fillId="0" borderId="0" xfId="1" applyFont="1" applyFill="1"/>
    <xf numFmtId="4" fontId="21" fillId="0" borderId="15" xfId="50" applyNumberFormat="1" applyFont="1" applyBorder="1" applyAlignment="1">
      <alignment horizontal="center"/>
    </xf>
    <xf numFmtId="0" fontId="21" fillId="0" borderId="31" xfId="50" applyFont="1" applyBorder="1"/>
    <xf numFmtId="0" fontId="20" fillId="0" borderId="72" xfId="50" applyFont="1" applyBorder="1"/>
    <xf numFmtId="44" fontId="0" fillId="0" borderId="0" xfId="0" applyNumberFormat="1"/>
    <xf numFmtId="179" fontId="21" fillId="0" borderId="6" xfId="50" applyNumberFormat="1" applyFont="1" applyBorder="1" applyAlignment="1">
      <alignment horizontal="center"/>
    </xf>
    <xf numFmtId="4" fontId="21" fillId="0" borderId="6" xfId="50" applyNumberFormat="1" applyFont="1" applyBorder="1" applyAlignment="1">
      <alignment horizontal="right"/>
    </xf>
    <xf numFmtId="0" fontId="21" fillId="0" borderId="82" xfId="50" applyFont="1" applyBorder="1"/>
    <xf numFmtId="184" fontId="13" fillId="0" borderId="0" xfId="134" applyNumberFormat="1" applyFont="1" applyFill="1"/>
    <xf numFmtId="44" fontId="0" fillId="0" borderId="0" xfId="134" applyFont="1" applyFill="1"/>
    <xf numFmtId="9" fontId="21" fillId="0" borderId="35" xfId="50" applyNumberFormat="1" applyFont="1" applyBorder="1" applyAlignment="1">
      <alignment horizontal="center"/>
    </xf>
    <xf numFmtId="43" fontId="0" fillId="0" borderId="0" xfId="0" applyNumberFormat="1"/>
    <xf numFmtId="4" fontId="21" fillId="0" borderId="6" xfId="50" applyNumberFormat="1" applyFont="1" applyBorder="1" applyAlignment="1">
      <alignment horizontal="center"/>
    </xf>
    <xf numFmtId="0" fontId="20" fillId="0" borderId="0" xfId="50" quotePrefix="1" applyFont="1" applyAlignment="1">
      <alignment vertical="center"/>
    </xf>
    <xf numFmtId="0" fontId="20" fillId="0" borderId="0" xfId="50" quotePrefix="1" applyFont="1" applyAlignment="1">
      <alignment vertical="center" wrapText="1"/>
    </xf>
    <xf numFmtId="0" fontId="8" fillId="0" borderId="6" xfId="110" applyFont="1" applyBorder="1" applyAlignment="1">
      <alignment horizontal="center" vertical="center" wrapText="1"/>
    </xf>
    <xf numFmtId="185" fontId="8" fillId="0" borderId="6" xfId="136" applyNumberFormat="1" applyFont="1" applyFill="1" applyBorder="1" applyAlignment="1">
      <alignment horizontal="center" vertical="center" wrapText="1"/>
    </xf>
    <xf numFmtId="0" fontId="7" fillId="0" borderId="6" xfId="110" applyFont="1" applyBorder="1" applyAlignment="1">
      <alignment horizontal="left" wrapText="1"/>
    </xf>
    <xf numFmtId="0" fontId="7" fillId="0" borderId="6" xfId="110" applyFont="1" applyBorder="1" applyAlignment="1">
      <alignment horizontal="center" vertical="center" wrapText="1"/>
    </xf>
    <xf numFmtId="184" fontId="7" fillId="0" borderId="6" xfId="136" applyNumberFormat="1" applyFont="1" applyFill="1" applyBorder="1" applyAlignment="1">
      <alignment horizontal="center" vertical="center" wrapText="1"/>
    </xf>
    <xf numFmtId="0" fontId="7" fillId="0" borderId="6" xfId="110" applyFont="1" applyBorder="1" applyAlignment="1">
      <alignment horizontal="left" vertical="center" wrapText="1"/>
    </xf>
    <xf numFmtId="0" fontId="8" fillId="0" borderId="6" xfId="110" applyFont="1" applyBorder="1" applyAlignment="1">
      <alignment horizontal="justify" vertical="top" wrapText="1"/>
    </xf>
    <xf numFmtId="0" fontId="36" fillId="0" borderId="0" xfId="0" applyFont="1"/>
    <xf numFmtId="0" fontId="36" fillId="0" borderId="6" xfId="0" applyFont="1" applyBorder="1" applyAlignment="1">
      <alignment vertical="center"/>
    </xf>
    <xf numFmtId="0" fontId="36" fillId="0" borderId="6" xfId="0" applyFont="1" applyBorder="1"/>
    <xf numFmtId="0" fontId="36" fillId="0" borderId="6" xfId="0" applyFont="1" applyBorder="1" applyAlignment="1">
      <alignment horizontal="center"/>
    </xf>
    <xf numFmtId="0" fontId="36" fillId="0" borderId="6" xfId="0" applyFont="1" applyBorder="1" applyAlignment="1">
      <alignment horizontal="left" vertical="center" wrapText="1"/>
    </xf>
    <xf numFmtId="0" fontId="36" fillId="0" borderId="6" xfId="0" applyFont="1" applyBorder="1" applyAlignment="1">
      <alignment horizontal="center" vertical="center"/>
    </xf>
    <xf numFmtId="9" fontId="36" fillId="0" borderId="6" xfId="1" applyFont="1" applyBorder="1" applyAlignment="1">
      <alignment horizontal="center" vertical="center"/>
    </xf>
    <xf numFmtId="169" fontId="36" fillId="0" borderId="6" xfId="15" applyFont="1" applyBorder="1" applyAlignment="1">
      <alignment horizontal="center" vertical="center"/>
    </xf>
    <xf numFmtId="44" fontId="36" fillId="0" borderId="6" xfId="0" applyNumberFormat="1" applyFont="1" applyBorder="1" applyAlignment="1">
      <alignment vertical="center"/>
    </xf>
    <xf numFmtId="0" fontId="36" fillId="0" borderId="6" xfId="0" applyFont="1" applyBorder="1" applyAlignment="1">
      <alignment horizontal="left" wrapText="1"/>
    </xf>
    <xf numFmtId="0" fontId="36" fillId="3" borderId="6" xfId="145" applyFont="1" applyFill="1" applyBorder="1" applyAlignment="1">
      <alignment vertical="center" wrapText="1"/>
    </xf>
    <xf numFmtId="0" fontId="36" fillId="3" borderId="6" xfId="145" applyFont="1" applyFill="1" applyBorder="1" applyAlignment="1">
      <alignment horizontal="left" vertical="center" wrapText="1"/>
    </xf>
    <xf numFmtId="0" fontId="36" fillId="0" borderId="6" xfId="1" applyNumberFormat="1" applyFont="1" applyBorder="1" applyAlignment="1">
      <alignment horizontal="center" vertical="center"/>
    </xf>
    <xf numFmtId="0" fontId="36" fillId="0" borderId="0" xfId="0" applyFont="1" applyAlignment="1">
      <alignment vertical="center"/>
    </xf>
    <xf numFmtId="0" fontId="36" fillId="3" borderId="6" xfId="145" applyFont="1" applyFill="1" applyBorder="1" applyAlignment="1">
      <alignment horizontal="justify" vertical="center"/>
    </xf>
    <xf numFmtId="181" fontId="36" fillId="0" borderId="6" xfId="0" applyNumberFormat="1" applyFont="1" applyBorder="1" applyAlignment="1">
      <alignment horizontal="center" vertical="center"/>
    </xf>
    <xf numFmtId="44" fontId="38" fillId="0" borderId="6" xfId="0" applyNumberFormat="1" applyFont="1" applyBorder="1"/>
    <xf numFmtId="0" fontId="38" fillId="0" borderId="55" xfId="0" applyFont="1" applyBorder="1" applyAlignment="1">
      <alignment horizontal="left"/>
    </xf>
    <xf numFmtId="0" fontId="38" fillId="0" borderId="77" xfId="0" applyFont="1" applyBorder="1" applyAlignment="1">
      <alignment horizontal="left"/>
    </xf>
    <xf numFmtId="0" fontId="38" fillId="0" borderId="77" xfId="0" applyFont="1" applyBorder="1" applyAlignment="1">
      <alignment horizontal="center"/>
    </xf>
    <xf numFmtId="0" fontId="38" fillId="0" borderId="32" xfId="0" applyFont="1" applyBorder="1" applyAlignment="1">
      <alignment horizontal="center"/>
    </xf>
    <xf numFmtId="9" fontId="36" fillId="0" borderId="6" xfId="0" applyNumberFormat="1" applyFont="1" applyBorder="1" applyAlignment="1">
      <alignment horizontal="center"/>
    </xf>
    <xf numFmtId="44" fontId="36" fillId="0" borderId="6" xfId="0" applyNumberFormat="1" applyFont="1" applyBorder="1"/>
    <xf numFmtId="0" fontId="36" fillId="0" borderId="0" xfId="0" applyFont="1" applyAlignment="1">
      <alignment horizontal="left"/>
    </xf>
    <xf numFmtId="0" fontId="36" fillId="0" borderId="0" xfId="0" applyFont="1" applyAlignment="1">
      <alignment horizontal="center"/>
    </xf>
    <xf numFmtId="44" fontId="38" fillId="0" borderId="6" xfId="15" applyNumberFormat="1" applyFont="1" applyBorder="1" applyAlignment="1">
      <alignment horizontal="right"/>
    </xf>
    <xf numFmtId="44" fontId="38" fillId="0" borderId="6" xfId="15" applyNumberFormat="1" applyFont="1" applyBorder="1"/>
    <xf numFmtId="44" fontId="36" fillId="0" borderId="6" xfId="15" applyNumberFormat="1" applyFont="1" applyBorder="1"/>
    <xf numFmtId="44" fontId="36" fillId="0" borderId="0" xfId="15" applyNumberFormat="1" applyFont="1"/>
    <xf numFmtId="0" fontId="38" fillId="0" borderId="6" xfId="0" applyFont="1" applyBorder="1" applyAlignment="1">
      <alignment vertical="center"/>
    </xf>
    <xf numFmtId="0" fontId="38" fillId="0" borderId="6" xfId="0" applyFont="1" applyBorder="1"/>
    <xf numFmtId="0" fontId="39" fillId="0" borderId="6" xfId="58" applyFont="1" applyBorder="1" applyAlignment="1">
      <alignment vertical="center"/>
    </xf>
    <xf numFmtId="189" fontId="39" fillId="0" borderId="6" xfId="146" applyNumberFormat="1" applyFont="1" applyFill="1" applyBorder="1" applyAlignment="1" applyProtection="1">
      <alignment vertical="center"/>
    </xf>
    <xf numFmtId="0" fontId="40" fillId="15" borderId="6" xfId="58" applyFont="1" applyFill="1" applyBorder="1" applyAlignment="1">
      <alignment horizontal="left" vertical="center"/>
    </xf>
    <xf numFmtId="43" fontId="39" fillId="0" borderId="6" xfId="58" applyNumberFormat="1" applyFont="1" applyBorder="1" applyAlignment="1">
      <alignment horizontal="center" vertical="center"/>
    </xf>
    <xf numFmtId="189" fontId="39" fillId="0" borderId="6" xfId="146" applyNumberFormat="1" applyFont="1" applyFill="1" applyBorder="1" applyAlignment="1" applyProtection="1">
      <alignment horizontal="center" vertical="center"/>
    </xf>
    <xf numFmtId="0" fontId="40" fillId="14" borderId="6" xfId="58" applyFont="1" applyFill="1" applyBorder="1" applyAlignment="1">
      <alignment vertical="center"/>
    </xf>
    <xf numFmtId="189" fontId="39" fillId="14" borderId="6" xfId="146" applyNumberFormat="1" applyFont="1" applyFill="1" applyBorder="1" applyAlignment="1" applyProtection="1">
      <alignment horizontal="center" vertical="center"/>
    </xf>
    <xf numFmtId="43" fontId="39" fillId="14" borderId="6" xfId="58" applyNumberFormat="1" applyFont="1" applyFill="1" applyBorder="1" applyAlignment="1">
      <alignment horizontal="center" vertical="center"/>
    </xf>
    <xf numFmtId="43" fontId="36" fillId="14" borderId="6" xfId="0" applyNumberFormat="1" applyFont="1" applyFill="1" applyBorder="1" applyAlignment="1">
      <alignment horizontal="center" vertical="center"/>
    </xf>
    <xf numFmtId="190" fontId="2" fillId="0" borderId="6" xfId="146" applyNumberFormat="1" applyFont="1" applyFill="1" applyBorder="1" applyAlignment="1" applyProtection="1">
      <alignment horizontal="center"/>
    </xf>
    <xf numFmtId="43" fontId="2" fillId="0" borderId="6" xfId="58" applyNumberFormat="1" applyFont="1" applyBorder="1" applyAlignment="1">
      <alignment horizontal="center" vertical="center"/>
    </xf>
    <xf numFmtId="43" fontId="7" fillId="0" borderId="6" xfId="0" applyNumberFormat="1" applyFont="1" applyBorder="1" applyAlignment="1">
      <alignment horizontal="center" vertical="center"/>
    </xf>
    <xf numFmtId="43" fontId="37" fillId="0" borderId="6" xfId="0" applyNumberFormat="1" applyFont="1" applyBorder="1" applyAlignment="1">
      <alignment horizontal="center" vertical="center"/>
    </xf>
    <xf numFmtId="0" fontId="7" fillId="14" borderId="6" xfId="0" applyFont="1" applyFill="1" applyBorder="1" applyAlignment="1">
      <alignment horizontal="center" vertical="center" wrapText="1"/>
    </xf>
    <xf numFmtId="0" fontId="36" fillId="14" borderId="55" xfId="0" applyFont="1" applyFill="1" applyBorder="1" applyAlignment="1">
      <alignment horizontal="left" vertical="center"/>
    </xf>
    <xf numFmtId="0" fontId="36" fillId="14" borderId="77" xfId="0" applyFont="1" applyFill="1" applyBorder="1" applyAlignment="1">
      <alignment vertical="center"/>
    </xf>
    <xf numFmtId="43" fontId="36" fillId="14" borderId="6" xfId="0" applyNumberFormat="1" applyFont="1" applyFill="1" applyBorder="1"/>
    <xf numFmtId="0" fontId="38" fillId="0" borderId="6" xfId="0" applyFont="1" applyBorder="1" applyAlignment="1">
      <alignment horizontal="center" vertical="center"/>
    </xf>
    <xf numFmtId="0" fontId="38" fillId="0" borderId="32" xfId="0" applyFont="1" applyBorder="1" applyAlignment="1">
      <alignment horizontal="left" vertical="center"/>
    </xf>
    <xf numFmtId="0" fontId="36" fillId="14" borderId="6" xfId="0" applyFont="1" applyFill="1" applyBorder="1" applyAlignment="1">
      <alignment horizontal="center" vertical="center"/>
    </xf>
    <xf numFmtId="0" fontId="38" fillId="14" borderId="32" xfId="0" applyFont="1" applyFill="1" applyBorder="1" applyAlignment="1">
      <alignment horizontal="left" vertical="center"/>
    </xf>
    <xf numFmtId="0" fontId="38" fillId="14" borderId="6" xfId="0" applyFont="1" applyFill="1" applyBorder="1" applyAlignment="1">
      <alignment horizontal="center" vertical="center"/>
    </xf>
    <xf numFmtId="169" fontId="3" fillId="14" borderId="6" xfId="15" applyFont="1" applyFill="1" applyBorder="1"/>
    <xf numFmtId="0" fontId="36" fillId="0" borderId="32" xfId="0" applyFont="1" applyBorder="1" applyAlignment="1">
      <alignment horizontal="left" vertical="center"/>
    </xf>
    <xf numFmtId="169" fontId="36" fillId="0" borderId="6" xfId="15" applyFont="1" applyBorder="1" applyAlignment="1">
      <alignment vertical="center"/>
    </xf>
    <xf numFmtId="169" fontId="2" fillId="0" borderId="6" xfId="0" applyNumberFormat="1" applyFont="1" applyBorder="1"/>
    <xf numFmtId="169" fontId="36" fillId="14" borderId="6" xfId="15" applyFont="1" applyFill="1" applyBorder="1" applyAlignment="1">
      <alignment vertical="center"/>
    </xf>
    <xf numFmtId="169" fontId="3" fillId="14" borderId="6" xfId="0" applyNumberFormat="1" applyFont="1" applyFill="1" applyBorder="1"/>
    <xf numFmtId="169" fontId="3" fillId="0" borderId="6" xfId="0" applyNumberFormat="1" applyFont="1" applyBorder="1"/>
    <xf numFmtId="0" fontId="41" fillId="0" borderId="6" xfId="0" applyFont="1" applyBorder="1" applyAlignment="1">
      <alignment horizontal="center" vertical="center"/>
    </xf>
    <xf numFmtId="0" fontId="42" fillId="0" borderId="6" xfId="0" applyFont="1" applyBorder="1" applyAlignment="1">
      <alignment horizontal="center" vertical="center" wrapText="1"/>
    </xf>
    <xf numFmtId="0" fontId="42" fillId="0" borderId="6" xfId="0" applyFont="1" applyBorder="1" applyAlignment="1">
      <alignment horizontal="center" vertical="center"/>
    </xf>
    <xf numFmtId="9" fontId="36" fillId="14" borderId="6" xfId="1" applyFont="1" applyFill="1" applyBorder="1" applyAlignment="1">
      <alignment horizontal="center" vertical="center"/>
    </xf>
    <xf numFmtId="169" fontId="36" fillId="14" borderId="6" xfId="15" applyFont="1" applyFill="1" applyBorder="1" applyAlignment="1">
      <alignment horizontal="center" vertical="center"/>
    </xf>
    <xf numFmtId="0" fontId="39" fillId="0" borderId="6" xfId="0" applyFont="1" applyBorder="1" applyAlignment="1">
      <alignment horizontal="center" vertical="center"/>
    </xf>
    <xf numFmtId="169" fontId="36" fillId="0" borderId="6" xfId="0" applyNumberFormat="1" applyFont="1" applyBorder="1"/>
    <xf numFmtId="169" fontId="39" fillId="0" borderId="6" xfId="15" applyFont="1" applyBorder="1" applyAlignment="1">
      <alignment horizontal="center" vertical="center"/>
    </xf>
    <xf numFmtId="169" fontId="39" fillId="0" borderId="6" xfId="0" applyNumberFormat="1" applyFont="1" applyBorder="1"/>
    <xf numFmtId="43" fontId="40" fillId="0" borderId="6" xfId="0" applyNumberFormat="1" applyFont="1" applyBorder="1"/>
    <xf numFmtId="191" fontId="36" fillId="14" borderId="6" xfId="15" applyNumberFormat="1" applyFont="1" applyFill="1" applyBorder="1"/>
    <xf numFmtId="189" fontId="39" fillId="13" borderId="6" xfId="146" applyNumberFormat="1" applyFont="1" applyFill="1" applyBorder="1" applyAlignment="1" applyProtection="1">
      <alignment vertical="center"/>
    </xf>
    <xf numFmtId="0" fontId="44" fillId="0" borderId="6" xfId="0" applyFont="1" applyBorder="1" applyAlignment="1">
      <alignment horizontal="center"/>
    </xf>
    <xf numFmtId="0" fontId="38" fillId="0" borderId="6" xfId="0" applyFont="1" applyBorder="1" applyAlignment="1">
      <alignment horizontal="center" vertical="center" wrapText="1"/>
    </xf>
    <xf numFmtId="0" fontId="38" fillId="0" borderId="6" xfId="0" applyFont="1" applyBorder="1" applyAlignment="1">
      <alignment horizontal="left" vertical="center"/>
    </xf>
    <xf numFmtId="44" fontId="33" fillId="0" borderId="6" xfId="15" applyNumberFormat="1" applyFont="1" applyBorder="1"/>
    <xf numFmtId="9" fontId="36" fillId="0" borderId="6" xfId="0" applyNumberFormat="1" applyFont="1" applyBorder="1" applyAlignment="1">
      <alignment horizontal="center" vertical="center"/>
    </xf>
    <xf numFmtId="42" fontId="7" fillId="16" borderId="12" xfId="128" applyFont="1" applyFill="1" applyBorder="1"/>
    <xf numFmtId="0" fontId="45" fillId="3" borderId="0" xfId="2" applyFont="1" applyFill="1" applyAlignment="1">
      <alignment horizontal="left" vertical="center"/>
    </xf>
    <xf numFmtId="0" fontId="46" fillId="3" borderId="0" xfId="2" applyFont="1" applyFill="1" applyAlignment="1">
      <alignment horizontal="left" vertical="center"/>
    </xf>
    <xf numFmtId="184" fontId="2" fillId="3" borderId="0" xfId="134" applyNumberFormat="1" applyFont="1" applyFill="1" applyAlignment="1">
      <alignment horizontal="center" vertical="center"/>
    </xf>
    <xf numFmtId="164" fontId="47" fillId="3" borderId="0" xfId="2" applyNumberFormat="1" applyFont="1" applyFill="1" applyAlignment="1">
      <alignment horizontal="center" vertical="center"/>
    </xf>
    <xf numFmtId="186" fontId="2" fillId="17" borderId="6" xfId="142" applyNumberFormat="1" applyFont="1" applyFill="1" applyBorder="1" applyAlignment="1">
      <alignment horizontal="center"/>
    </xf>
    <xf numFmtId="10" fontId="2" fillId="17" borderId="6" xfId="142" applyNumberFormat="1" applyFont="1" applyFill="1" applyBorder="1" applyAlignment="1">
      <alignment horizontal="center"/>
    </xf>
    <xf numFmtId="42" fontId="7" fillId="17" borderId="6" xfId="128" applyFont="1" applyFill="1" applyBorder="1"/>
    <xf numFmtId="192" fontId="8" fillId="17" borderId="6" xfId="137" applyNumberFormat="1" applyFont="1" applyFill="1" applyBorder="1" applyAlignment="1">
      <alignment horizontal="center" vertical="center" wrapText="1"/>
    </xf>
    <xf numFmtId="9" fontId="8" fillId="17" borderId="6" xfId="137" applyFont="1" applyFill="1" applyBorder="1" applyAlignment="1">
      <alignment horizontal="center" vertical="center" wrapText="1"/>
    </xf>
    <xf numFmtId="0" fontId="9" fillId="3" borderId="0" xfId="2" applyFont="1" applyFill="1" applyAlignment="1">
      <alignment horizontal="center" vertical="center"/>
    </xf>
    <xf numFmtId="0" fontId="32" fillId="3" borderId="0" xfId="2" applyFont="1" applyFill="1" applyAlignment="1">
      <alignment horizontal="left" vertical="center"/>
    </xf>
    <xf numFmtId="185" fontId="8" fillId="17" borderId="6" xfId="136" applyNumberFormat="1" applyFont="1" applyFill="1" applyBorder="1" applyAlignment="1">
      <alignment horizontal="center" vertical="center" wrapText="1"/>
    </xf>
    <xf numFmtId="185" fontId="7" fillId="17" borderId="6" xfId="136" applyNumberFormat="1" applyFont="1" applyFill="1" applyBorder="1" applyAlignment="1">
      <alignment horizontal="center" vertical="center" wrapText="1"/>
    </xf>
    <xf numFmtId="0" fontId="7" fillId="17" borderId="6" xfId="110" applyFont="1" applyFill="1" applyBorder="1" applyAlignment="1">
      <alignment horizontal="center" vertical="center" wrapText="1"/>
    </xf>
    <xf numFmtId="0" fontId="2" fillId="17" borderId="6" xfId="110" applyFont="1" applyFill="1" applyBorder="1" applyAlignment="1">
      <alignment horizontal="center" vertical="center" wrapText="1"/>
    </xf>
    <xf numFmtId="169" fontId="36" fillId="17" borderId="6" xfId="15" applyFont="1" applyFill="1" applyBorder="1" applyAlignment="1">
      <alignment horizontal="center" vertical="center"/>
    </xf>
    <xf numFmtId="189" fontId="39" fillId="17" borderId="6" xfId="146" applyNumberFormat="1" applyFont="1" applyFill="1" applyBorder="1" applyAlignment="1" applyProtection="1">
      <alignment vertical="center"/>
    </xf>
    <xf numFmtId="0" fontId="39" fillId="17" borderId="6" xfId="58" applyFont="1" applyFill="1" applyBorder="1" applyAlignment="1">
      <alignment vertical="center"/>
    </xf>
    <xf numFmtId="0" fontId="38" fillId="0" borderId="0" xfId="0" applyFont="1" applyAlignment="1">
      <alignment horizontal="left"/>
    </xf>
    <xf numFmtId="44" fontId="38" fillId="0" borderId="0" xfId="0" applyNumberFormat="1" applyFont="1"/>
    <xf numFmtId="10" fontId="36" fillId="0" borderId="0" xfId="1" applyNumberFormat="1" applyFont="1"/>
    <xf numFmtId="193" fontId="2" fillId="0" borderId="6" xfId="1" applyNumberFormat="1" applyFont="1" applyFill="1" applyBorder="1" applyAlignment="1" applyProtection="1">
      <alignment horizontal="center" vertical="center" wrapText="1"/>
    </xf>
    <xf numFmtId="164" fontId="2" fillId="17" borderId="6" xfId="3" applyFont="1" applyFill="1" applyBorder="1" applyAlignment="1" applyProtection="1">
      <alignment horizontal="center" vertical="center" wrapText="1"/>
    </xf>
    <xf numFmtId="184" fontId="48" fillId="0" borderId="0" xfId="134" applyNumberFormat="1" applyFont="1" applyFill="1"/>
    <xf numFmtId="184" fontId="49" fillId="0" borderId="0" xfId="134" applyNumberFormat="1" applyFont="1" applyFill="1"/>
    <xf numFmtId="166" fontId="32" fillId="3" borderId="7" xfId="2" quotePrefix="1" applyNumberFormat="1" applyFont="1" applyFill="1" applyBorder="1" applyAlignment="1">
      <alignment horizontal="center" vertical="center" wrapText="1"/>
    </xf>
    <xf numFmtId="3" fontId="21" fillId="17" borderId="6" xfId="50" applyNumberFormat="1" applyFont="1" applyFill="1" applyBorder="1"/>
    <xf numFmtId="166" fontId="32" fillId="0" borderId="7" xfId="2" quotePrefix="1" applyNumberFormat="1" applyFont="1" applyBorder="1" applyAlignment="1">
      <alignment horizontal="center" vertical="center" wrapText="1"/>
    </xf>
    <xf numFmtId="10" fontId="48" fillId="0" borderId="0" xfId="1" applyNumberFormat="1" applyFont="1" applyFill="1"/>
    <xf numFmtId="9" fontId="48" fillId="0" borderId="0" xfId="1" applyFont="1" applyFill="1"/>
    <xf numFmtId="184" fontId="20" fillId="0" borderId="0" xfId="134" applyNumberFormat="1" applyFont="1" applyFill="1"/>
    <xf numFmtId="44" fontId="49" fillId="0" borderId="0" xfId="134" applyFont="1"/>
    <xf numFmtId="164" fontId="2" fillId="17" borderId="15" xfId="3" applyFont="1" applyFill="1" applyBorder="1" applyAlignment="1" applyProtection="1">
      <alignment horizontal="center" vertical="center" wrapText="1"/>
    </xf>
    <xf numFmtId="3" fontId="21" fillId="17" borderId="29" xfId="50" applyNumberFormat="1" applyFont="1" applyFill="1" applyBorder="1"/>
    <xf numFmtId="4" fontId="21" fillId="17" borderId="29" xfId="50" applyNumberFormat="1" applyFont="1" applyFill="1" applyBorder="1"/>
    <xf numFmtId="184" fontId="0" fillId="0" borderId="0" xfId="134" applyNumberFormat="1" applyFont="1"/>
    <xf numFmtId="4" fontId="21" fillId="17" borderId="6" xfId="144" applyNumberFormat="1" applyFont="1" applyFill="1" applyBorder="1" applyAlignment="1">
      <alignment vertical="center"/>
    </xf>
    <xf numFmtId="3" fontId="21" fillId="17" borderId="15" xfId="50" applyNumberFormat="1" applyFont="1" applyFill="1" applyBorder="1" applyAlignment="1">
      <alignment vertical="center"/>
    </xf>
    <xf numFmtId="4" fontId="21" fillId="17" borderId="6" xfId="50" applyNumberFormat="1" applyFont="1" applyFill="1" applyBorder="1"/>
    <xf numFmtId="2" fontId="21" fillId="17" borderId="6" xfId="144" applyNumberFormat="1" applyFont="1" applyFill="1" applyBorder="1" applyAlignment="1">
      <alignment horizontal="center" vertical="center"/>
    </xf>
    <xf numFmtId="164" fontId="2" fillId="17" borderId="29" xfId="3" applyFont="1" applyFill="1" applyBorder="1" applyAlignment="1" applyProtection="1">
      <alignment horizontal="center" vertical="center" wrapText="1"/>
    </xf>
    <xf numFmtId="179" fontId="21" fillId="17" borderId="6" xfId="50" applyNumberFormat="1" applyFont="1" applyFill="1" applyBorder="1" applyAlignment="1">
      <alignment horizontal="center"/>
    </xf>
    <xf numFmtId="184" fontId="27" fillId="0" borderId="0" xfId="134" applyNumberFormat="1" applyFont="1"/>
    <xf numFmtId="178" fontId="21" fillId="17" borderId="6" xfId="50" applyNumberFormat="1" applyFont="1" applyFill="1" applyBorder="1"/>
    <xf numFmtId="179" fontId="21" fillId="17" borderId="6" xfId="50" applyNumberFormat="1" applyFont="1" applyFill="1" applyBorder="1"/>
    <xf numFmtId="4" fontId="21" fillId="17" borderId="6" xfId="144" applyNumberFormat="1" applyFont="1" applyFill="1" applyBorder="1"/>
    <xf numFmtId="2" fontId="21" fillId="17" borderId="6" xfId="144" applyNumberFormat="1" applyFont="1" applyFill="1" applyBorder="1" applyAlignment="1">
      <alignment horizontal="center"/>
    </xf>
    <xf numFmtId="10" fontId="21" fillId="0" borderId="6" xfId="82" applyNumberFormat="1" applyFont="1" applyFill="1" applyBorder="1" applyAlignment="1">
      <alignment horizontal="center"/>
    </xf>
    <xf numFmtId="0" fontId="20" fillId="17" borderId="0" xfId="50" applyFont="1" applyFill="1"/>
    <xf numFmtId="3" fontId="21" fillId="17" borderId="15" xfId="50" applyNumberFormat="1" applyFont="1" applyFill="1" applyBorder="1"/>
    <xf numFmtId="0" fontId="32" fillId="3" borderId="16" xfId="2" applyFont="1" applyFill="1" applyBorder="1" applyAlignment="1">
      <alignment horizontal="center" vertical="center" wrapText="1"/>
    </xf>
    <xf numFmtId="9" fontId="0" fillId="0" borderId="0" xfId="1" applyFont="1"/>
    <xf numFmtId="0" fontId="21" fillId="17" borderId="32" xfId="50" applyFont="1" applyFill="1" applyBorder="1" applyAlignment="1">
      <alignment horizontal="center"/>
    </xf>
    <xf numFmtId="186" fontId="0" fillId="0" borderId="0" xfId="1" applyNumberFormat="1" applyFont="1"/>
    <xf numFmtId="3" fontId="21" fillId="17" borderId="6" xfId="50" applyNumberFormat="1" applyFont="1" applyFill="1" applyBorder="1" applyAlignment="1">
      <alignment horizontal="center"/>
    </xf>
    <xf numFmtId="0" fontId="21" fillId="17" borderId="72" xfId="50" applyFont="1" applyFill="1" applyBorder="1" applyAlignment="1">
      <alignment horizontal="left"/>
    </xf>
    <xf numFmtId="4" fontId="21" fillId="17" borderId="15" xfId="50" applyNumberFormat="1" applyFont="1" applyFill="1" applyBorder="1"/>
    <xf numFmtId="4" fontId="21" fillId="17" borderId="16" xfId="50" applyNumberFormat="1" applyFont="1" applyFill="1" applyBorder="1"/>
    <xf numFmtId="4" fontId="21" fillId="17" borderId="55" xfId="50" applyNumberFormat="1" applyFont="1" applyFill="1" applyBorder="1"/>
    <xf numFmtId="10" fontId="21" fillId="0" borderId="0" xfId="1" applyNumberFormat="1" applyFont="1"/>
    <xf numFmtId="184" fontId="21" fillId="0" borderId="0" xfId="134" applyNumberFormat="1" applyFont="1"/>
    <xf numFmtId="4" fontId="21" fillId="17" borderId="44" xfId="50" applyNumberFormat="1" applyFont="1" applyFill="1" applyBorder="1"/>
    <xf numFmtId="164" fontId="9" fillId="3" borderId="7" xfId="3" applyFont="1" applyFill="1" applyBorder="1" applyAlignment="1" applyProtection="1">
      <alignment horizontal="center" vertical="center" wrapText="1"/>
    </xf>
    <xf numFmtId="179" fontId="21" fillId="17" borderId="6" xfId="50" applyNumberFormat="1" applyFont="1" applyFill="1" applyBorder="1" applyAlignment="1">
      <alignment horizontal="right"/>
    </xf>
    <xf numFmtId="186" fontId="13" fillId="0" borderId="0" xfId="1" applyNumberFormat="1" applyFont="1"/>
    <xf numFmtId="164" fontId="8" fillId="17" borderId="55" xfId="3" applyFont="1" applyFill="1" applyBorder="1" applyAlignment="1" applyProtection="1">
      <alignment horizontal="center" vertical="center" wrapText="1"/>
    </xf>
    <xf numFmtId="164" fontId="8" fillId="17" borderId="57" xfId="3" applyFont="1" applyFill="1" applyBorder="1" applyAlignment="1" applyProtection="1">
      <alignment horizontal="center" vertical="center" wrapText="1"/>
    </xf>
    <xf numFmtId="164" fontId="2" fillId="17" borderId="54" xfId="3" applyFont="1" applyFill="1" applyBorder="1" applyAlignment="1" applyProtection="1">
      <alignment horizontal="center" vertical="center" wrapText="1"/>
    </xf>
    <xf numFmtId="164" fontId="2" fillId="17" borderId="57" xfId="3" applyFont="1" applyFill="1" applyBorder="1" applyAlignment="1" applyProtection="1">
      <alignment horizontal="center" vertical="center" wrapText="1"/>
    </xf>
    <xf numFmtId="164" fontId="2" fillId="17" borderId="29" xfId="4" quotePrefix="1" applyNumberFormat="1" applyFont="1" applyFill="1" applyBorder="1" applyAlignment="1">
      <alignment horizontal="center" vertical="center"/>
    </xf>
    <xf numFmtId="164" fontId="2" fillId="17" borderId="15" xfId="4" quotePrefix="1" applyNumberFormat="1" applyFont="1" applyFill="1" applyBorder="1" applyAlignment="1">
      <alignment horizontal="center" vertical="center"/>
    </xf>
    <xf numFmtId="164" fontId="7" fillId="17" borderId="66" xfId="3" applyFont="1" applyFill="1" applyBorder="1" applyAlignment="1" applyProtection="1">
      <alignment horizontal="center" vertical="center" wrapText="1"/>
    </xf>
    <xf numFmtId="164" fontId="7" fillId="17" borderId="52" xfId="3" applyFont="1" applyFill="1" applyBorder="1" applyAlignment="1" applyProtection="1">
      <alignment horizontal="center" vertical="center" wrapText="1"/>
    </xf>
    <xf numFmtId="42" fontId="7" fillId="17" borderId="12" xfId="128" applyFont="1" applyFill="1" applyBorder="1"/>
    <xf numFmtId="164" fontId="2" fillId="17" borderId="12" xfId="3" applyFont="1" applyFill="1" applyBorder="1" applyAlignment="1" applyProtection="1">
      <alignment horizontal="center" vertical="center" wrapText="1"/>
    </xf>
    <xf numFmtId="0" fontId="5" fillId="8" borderId="133" xfId="133" applyNumberFormat="1" applyFont="1" applyFill="1" applyBorder="1" applyAlignment="1">
      <alignment horizontal="center" vertical="center" wrapText="1"/>
    </xf>
    <xf numFmtId="0" fontId="2" fillId="3" borderId="0" xfId="2" applyFont="1" applyFill="1" applyAlignment="1">
      <alignment horizontal="justify" vertical="center" wrapText="1"/>
    </xf>
    <xf numFmtId="0" fontId="3" fillId="3" borderId="0" xfId="2" applyFont="1" applyFill="1" applyAlignment="1">
      <alignment horizontal="justify" vertical="center" wrapText="1"/>
    </xf>
    <xf numFmtId="0" fontId="3" fillId="3" borderId="15" xfId="2" applyFont="1" applyFill="1" applyBorder="1" applyAlignment="1">
      <alignment horizontal="justify" vertical="center" wrapText="1"/>
    </xf>
    <xf numFmtId="0" fontId="3" fillId="3" borderId="21" xfId="2" applyFont="1" applyFill="1" applyBorder="1" applyAlignment="1">
      <alignment horizontal="justify" vertical="center" wrapText="1"/>
    </xf>
    <xf numFmtId="0" fontId="5" fillId="7" borderId="17" xfId="2" applyFont="1" applyFill="1" applyBorder="1" applyAlignment="1">
      <alignment horizontal="justify" vertical="center" wrapText="1"/>
    </xf>
    <xf numFmtId="0" fontId="6" fillId="6" borderId="25" xfId="2" applyFont="1" applyFill="1" applyBorder="1" applyAlignment="1">
      <alignment horizontal="justify" vertical="center" wrapText="1"/>
    </xf>
    <xf numFmtId="0" fontId="6" fillId="6" borderId="32" xfId="2" applyFont="1" applyFill="1" applyBorder="1" applyAlignment="1">
      <alignment horizontal="justify" vertical="center" wrapText="1"/>
    </xf>
    <xf numFmtId="0" fontId="9" fillId="3" borderId="0" xfId="2" applyFont="1" applyFill="1" applyAlignment="1">
      <alignment horizontal="justify" vertical="center" wrapText="1"/>
    </xf>
    <xf numFmtId="0" fontId="6" fillId="6" borderId="132" xfId="2" applyFont="1" applyFill="1" applyBorder="1" applyAlignment="1">
      <alignment horizontal="justify" vertical="center" wrapText="1"/>
    </xf>
    <xf numFmtId="0" fontId="2" fillId="3" borderId="32" xfId="2" applyFont="1" applyFill="1" applyBorder="1" applyAlignment="1">
      <alignment horizontal="justify" vertical="center" wrapText="1"/>
    </xf>
    <xf numFmtId="0" fontId="2" fillId="3" borderId="35" xfId="2" applyFont="1" applyFill="1" applyBorder="1" applyAlignment="1">
      <alignment horizontal="justify" vertical="center" wrapText="1"/>
    </xf>
    <xf numFmtId="0" fontId="6" fillId="6" borderId="11" xfId="2" applyFont="1" applyFill="1" applyBorder="1" applyAlignment="1">
      <alignment horizontal="justify" vertical="center" wrapText="1"/>
    </xf>
    <xf numFmtId="0" fontId="7" fillId="0" borderId="5" xfId="2" applyFont="1" applyBorder="1" applyAlignment="1">
      <alignment horizontal="justify" vertical="center" wrapText="1"/>
    </xf>
    <xf numFmtId="0" fontId="7" fillId="0" borderId="70" xfId="2" applyFont="1" applyBorder="1" applyAlignment="1">
      <alignment horizontal="justify" vertical="center" wrapText="1"/>
    </xf>
    <xf numFmtId="0" fontId="7" fillId="0" borderId="14" xfId="2" applyFont="1" applyBorder="1" applyAlignment="1">
      <alignment horizontal="justify" vertical="center" wrapText="1"/>
    </xf>
    <xf numFmtId="0" fontId="5" fillId="7" borderId="22" xfId="2" applyFont="1" applyFill="1" applyBorder="1" applyAlignment="1">
      <alignment horizontal="justify" vertical="center" wrapText="1"/>
    </xf>
    <xf numFmtId="0" fontId="7" fillId="3" borderId="5" xfId="2" applyFont="1" applyFill="1" applyBorder="1" applyAlignment="1">
      <alignment horizontal="justify" vertical="center" wrapText="1"/>
    </xf>
    <xf numFmtId="0" fontId="7" fillId="3" borderId="11" xfId="2" applyFont="1" applyFill="1" applyBorder="1" applyAlignment="1">
      <alignment horizontal="justify" vertical="center" wrapText="1"/>
    </xf>
    <xf numFmtId="0" fontId="7" fillId="3" borderId="42" xfId="2" applyFont="1" applyFill="1" applyBorder="1" applyAlignment="1">
      <alignment horizontal="justify" vertical="center" wrapText="1"/>
    </xf>
    <xf numFmtId="0" fontId="4" fillId="6" borderId="40" xfId="2" quotePrefix="1" applyFont="1" applyFill="1" applyBorder="1" applyAlignment="1">
      <alignment horizontal="justify" vertical="center" wrapText="1"/>
    </xf>
    <xf numFmtId="0" fontId="2" fillId="0" borderId="32" xfId="2" quotePrefix="1" applyFont="1" applyBorder="1" applyAlignment="1">
      <alignment horizontal="justify" vertical="center" wrapText="1"/>
    </xf>
    <xf numFmtId="0" fontId="4" fillId="6" borderId="40" xfId="2" quotePrefix="1" applyFont="1" applyFill="1" applyBorder="1" applyAlignment="1">
      <alignment horizontal="justify" vertical="center"/>
    </xf>
    <xf numFmtId="0" fontId="3" fillId="6" borderId="32" xfId="2" quotePrefix="1" applyFont="1" applyFill="1" applyBorder="1" applyAlignment="1">
      <alignment horizontal="justify" vertical="center"/>
    </xf>
    <xf numFmtId="0" fontId="2" fillId="0" borderId="35" xfId="2" quotePrefix="1" applyFont="1" applyBorder="1" applyAlignment="1">
      <alignment horizontal="justify" vertical="center" wrapText="1"/>
    </xf>
    <xf numFmtId="0" fontId="7" fillId="3" borderId="0" xfId="2" quotePrefix="1" applyFont="1" applyFill="1" applyAlignment="1">
      <alignment horizontal="justify" vertical="center" wrapText="1"/>
    </xf>
    <xf numFmtId="0" fontId="2" fillId="3" borderId="32" xfId="2" quotePrefix="1" applyFont="1" applyFill="1" applyBorder="1" applyAlignment="1">
      <alignment horizontal="justify" vertical="center" wrapText="1"/>
    </xf>
    <xf numFmtId="0" fontId="8" fillId="3" borderId="0" xfId="2" applyFont="1" applyFill="1" applyAlignment="1">
      <alignment horizontal="justify" vertical="center" wrapText="1"/>
    </xf>
    <xf numFmtId="0" fontId="4" fillId="6" borderId="32" xfId="2" quotePrefix="1" applyFont="1" applyFill="1" applyBorder="1" applyAlignment="1">
      <alignment horizontal="justify" vertical="center"/>
    </xf>
    <xf numFmtId="0" fontId="7" fillId="0" borderId="35" xfId="2" applyFont="1" applyBorder="1" applyAlignment="1">
      <alignment horizontal="justify" vertical="center" wrapText="1"/>
    </xf>
    <xf numFmtId="0" fontId="4" fillId="6" borderId="11" xfId="2" quotePrefix="1" applyFont="1" applyFill="1" applyBorder="1" applyAlignment="1">
      <alignment horizontal="justify" vertical="center"/>
    </xf>
    <xf numFmtId="0" fontId="4" fillId="6" borderId="5" xfId="2" quotePrefix="1" applyFont="1" applyFill="1" applyBorder="1" applyAlignment="1">
      <alignment horizontal="justify" vertical="center"/>
    </xf>
    <xf numFmtId="0" fontId="2" fillId="0" borderId="11" xfId="2" quotePrefix="1" applyFont="1" applyBorder="1" applyAlignment="1">
      <alignment horizontal="justify" vertical="center" wrapText="1"/>
    </xf>
    <xf numFmtId="0" fontId="3" fillId="6" borderId="11" xfId="2" applyFont="1" applyFill="1" applyBorder="1" applyAlignment="1">
      <alignment horizontal="justify" vertical="center" wrapText="1"/>
    </xf>
    <xf numFmtId="0" fontId="2" fillId="0" borderId="14" xfId="2" quotePrefix="1" applyFont="1" applyBorder="1" applyAlignment="1">
      <alignment horizontal="justify" vertical="center" wrapText="1"/>
    </xf>
    <xf numFmtId="0" fontId="2" fillId="0" borderId="62" xfId="2" quotePrefix="1" applyFont="1" applyBorder="1" applyAlignment="1">
      <alignment horizontal="justify" vertical="center" wrapText="1"/>
    </xf>
    <xf numFmtId="0" fontId="2" fillId="3" borderId="28" xfId="2" applyFont="1" applyFill="1" applyBorder="1" applyAlignment="1">
      <alignment horizontal="justify" vertical="center" wrapText="1"/>
    </xf>
    <xf numFmtId="0" fontId="2" fillId="3" borderId="14" xfId="2" applyFont="1" applyFill="1" applyBorder="1" applyAlignment="1">
      <alignment horizontal="justify" vertical="center" wrapText="1"/>
    </xf>
    <xf numFmtId="0" fontId="3" fillId="6" borderId="64" xfId="2" applyFont="1" applyFill="1" applyBorder="1" applyAlignment="1">
      <alignment horizontal="justify" vertical="center" wrapText="1"/>
    </xf>
    <xf numFmtId="0" fontId="2" fillId="3" borderId="5" xfId="2" applyFont="1" applyFill="1" applyBorder="1" applyAlignment="1">
      <alignment horizontal="justify" vertical="center" wrapText="1"/>
    </xf>
    <xf numFmtId="0" fontId="3" fillId="6" borderId="40" xfId="2" applyFont="1" applyFill="1" applyBorder="1" applyAlignment="1">
      <alignment horizontal="justify" vertical="center" wrapText="1"/>
    </xf>
    <xf numFmtId="0" fontId="2" fillId="3" borderId="79" xfId="2" quotePrefix="1" applyFont="1" applyFill="1" applyBorder="1" applyAlignment="1">
      <alignment horizontal="justify" vertical="center" wrapText="1"/>
    </xf>
    <xf numFmtId="0" fontId="3" fillId="3" borderId="14" xfId="2" applyFont="1" applyFill="1" applyBorder="1" applyAlignment="1">
      <alignment horizontal="justify" vertical="center" wrapText="1"/>
    </xf>
    <xf numFmtId="0" fontId="22" fillId="0" borderId="0" xfId="102" applyFont="1"/>
    <xf numFmtId="0" fontId="21" fillId="0" borderId="0" xfId="102" applyFont="1"/>
    <xf numFmtId="0" fontId="21" fillId="0" borderId="75" xfId="102" applyFont="1" applyBorder="1" applyAlignment="1">
      <alignment horizontal="center"/>
    </xf>
    <xf numFmtId="0" fontId="21" fillId="0" borderId="76" xfId="102" applyFont="1" applyBorder="1" applyAlignment="1">
      <alignment horizontal="center"/>
    </xf>
    <xf numFmtId="0" fontId="21" fillId="0" borderId="76" xfId="102" quotePrefix="1" applyFont="1" applyBorder="1" applyAlignment="1">
      <alignment horizontal="center"/>
    </xf>
    <xf numFmtId="0" fontId="21" fillId="0" borderId="73" xfId="102" applyFont="1" applyBorder="1"/>
    <xf numFmtId="3" fontId="21" fillId="0" borderId="29" xfId="102" applyNumberFormat="1" applyFont="1" applyBorder="1" applyAlignment="1">
      <alignment horizontal="center"/>
    </xf>
    <xf numFmtId="3" fontId="21" fillId="0" borderId="29" xfId="102" applyNumberFormat="1" applyFont="1" applyBorder="1"/>
    <xf numFmtId="4" fontId="21" fillId="0" borderId="6" xfId="102" applyNumberFormat="1" applyFont="1" applyBorder="1"/>
    <xf numFmtId="4" fontId="21" fillId="0" borderId="55" xfId="102" applyNumberFormat="1" applyFont="1" applyBorder="1"/>
    <xf numFmtId="0" fontId="21" fillId="0" borderId="24" xfId="102" applyFont="1" applyBorder="1"/>
    <xf numFmtId="3" fontId="21" fillId="0" borderId="6" xfId="102" applyNumberFormat="1" applyFont="1" applyBorder="1" applyAlignment="1">
      <alignment horizontal="center"/>
    </xf>
    <xf numFmtId="3" fontId="21" fillId="0" borderId="6" xfId="102" applyNumberFormat="1" applyFont="1" applyBorder="1"/>
    <xf numFmtId="4" fontId="21" fillId="18" borderId="6" xfId="102" applyNumberFormat="1" applyFont="1" applyFill="1" applyBorder="1" applyAlignment="1">
      <alignment horizontal="center"/>
    </xf>
    <xf numFmtId="4" fontId="21" fillId="0" borderId="7" xfId="102" applyNumberFormat="1" applyFont="1" applyBorder="1"/>
    <xf numFmtId="3" fontId="21" fillId="0" borderId="15" xfId="102" applyNumberFormat="1" applyFont="1" applyBorder="1" applyAlignment="1">
      <alignment horizontal="center"/>
    </xf>
    <xf numFmtId="3" fontId="21" fillId="0" borderId="15" xfId="102" applyNumberFormat="1" applyFont="1" applyBorder="1"/>
    <xf numFmtId="4" fontId="21" fillId="0" borderId="15" xfId="102" applyNumberFormat="1" applyFont="1" applyBorder="1"/>
    <xf numFmtId="4" fontId="21" fillId="0" borderId="57" xfId="102" applyNumberFormat="1" applyFont="1" applyBorder="1"/>
    <xf numFmtId="0" fontId="21" fillId="0" borderId="36" xfId="102" applyFont="1" applyBorder="1"/>
    <xf numFmtId="0" fontId="20" fillId="0" borderId="0" xfId="102" applyFont="1" applyAlignment="1">
      <alignment horizontal="center"/>
    </xf>
    <xf numFmtId="4" fontId="21" fillId="0" borderId="44" xfId="102" applyNumberFormat="1" applyFont="1" applyBorder="1"/>
    <xf numFmtId="3" fontId="21" fillId="18" borderId="6" xfId="102" applyNumberFormat="1" applyFont="1" applyFill="1" applyBorder="1" applyAlignment="1">
      <alignment horizontal="center" vertical="center" wrapText="1"/>
    </xf>
    <xf numFmtId="3" fontId="21" fillId="18" borderId="6" xfId="102" applyNumberFormat="1" applyFont="1" applyFill="1" applyBorder="1" applyAlignment="1">
      <alignment vertical="center" wrapText="1"/>
    </xf>
    <xf numFmtId="178" fontId="21" fillId="0" borderId="6" xfId="102" applyNumberFormat="1" applyFont="1" applyBorder="1" applyAlignment="1">
      <alignment horizontal="center" vertical="center" wrapText="1"/>
    </xf>
    <xf numFmtId="4" fontId="21" fillId="0" borderId="55" xfId="102" applyNumberFormat="1" applyFont="1" applyBorder="1" applyAlignment="1">
      <alignment horizontal="right" vertical="center" wrapText="1"/>
    </xf>
    <xf numFmtId="178" fontId="21" fillId="0" borderId="6" xfId="102" applyNumberFormat="1" applyFont="1" applyBorder="1" applyAlignment="1">
      <alignment horizontal="center"/>
    </xf>
    <xf numFmtId="3" fontId="21" fillId="18" borderId="29" xfId="102" applyNumberFormat="1" applyFont="1" applyFill="1" applyBorder="1" applyAlignment="1">
      <alignment horizontal="center" vertical="center" wrapText="1"/>
    </xf>
    <xf numFmtId="3" fontId="21" fillId="18" borderId="29" xfId="102" applyNumberFormat="1" applyFont="1" applyFill="1" applyBorder="1" applyAlignment="1">
      <alignment vertical="center" wrapText="1"/>
    </xf>
    <xf numFmtId="178" fontId="21" fillId="0" borderId="29" xfId="102" applyNumberFormat="1" applyFont="1" applyBorder="1" applyAlignment="1">
      <alignment horizontal="center" vertical="center" wrapText="1"/>
    </xf>
    <xf numFmtId="0" fontId="22" fillId="0" borderId="53" xfId="102" applyFont="1" applyBorder="1"/>
    <xf numFmtId="0" fontId="21" fillId="0" borderId="53" xfId="102" applyFont="1" applyBorder="1"/>
    <xf numFmtId="0" fontId="21" fillId="0" borderId="2" xfId="102" applyFont="1" applyBorder="1" applyAlignment="1">
      <alignment horizontal="center"/>
    </xf>
    <xf numFmtId="0" fontId="21" fillId="0" borderId="3" xfId="102" applyFont="1" applyBorder="1" applyAlignment="1">
      <alignment horizontal="center"/>
    </xf>
    <xf numFmtId="0" fontId="21" fillId="0" borderId="3" xfId="102" applyFont="1" applyBorder="1" applyAlignment="1">
      <alignment horizontal="centerContinuous"/>
    </xf>
    <xf numFmtId="0" fontId="21" fillId="0" borderId="4" xfId="102" applyFont="1" applyBorder="1" applyAlignment="1">
      <alignment horizontal="center"/>
    </xf>
    <xf numFmtId="2" fontId="21" fillId="0" borderId="6" xfId="102" applyNumberFormat="1" applyFont="1" applyBorder="1" applyAlignment="1">
      <alignment horizontal="center"/>
    </xf>
    <xf numFmtId="179" fontId="21" fillId="0" borderId="6" xfId="102" applyNumberFormat="1" applyFont="1" applyBorder="1" applyAlignment="1">
      <alignment horizontal="center"/>
    </xf>
    <xf numFmtId="4" fontId="21" fillId="0" borderId="6" xfId="102" applyNumberFormat="1" applyFont="1" applyBorder="1" applyAlignment="1">
      <alignment horizontal="center"/>
    </xf>
    <xf numFmtId="3" fontId="21" fillId="0" borderId="6" xfId="102" applyNumberFormat="1" applyFont="1" applyBorder="1" applyAlignment="1">
      <alignment horizontal="right"/>
    </xf>
    <xf numFmtId="0" fontId="21" fillId="0" borderId="15" xfId="102" applyFont="1" applyBorder="1" applyAlignment="1">
      <alignment horizontal="center"/>
    </xf>
    <xf numFmtId="0" fontId="21" fillId="0" borderId="15" xfId="102" applyFont="1" applyBorder="1" applyAlignment="1">
      <alignment horizontal="centerContinuous"/>
    </xf>
    <xf numFmtId="0" fontId="21" fillId="0" borderId="16" xfId="102" applyFont="1" applyBorder="1" applyAlignment="1">
      <alignment horizontal="center"/>
    </xf>
    <xf numFmtId="0" fontId="21" fillId="0" borderId="3" xfId="102" quotePrefix="1" applyFont="1" applyBorder="1" applyAlignment="1">
      <alignment horizontal="center"/>
    </xf>
    <xf numFmtId="4" fontId="21" fillId="18" borderId="6" xfId="102" applyNumberFormat="1" applyFont="1" applyFill="1" applyBorder="1" applyAlignment="1">
      <alignment horizontal="center" vertical="center"/>
    </xf>
    <xf numFmtId="9" fontId="21" fillId="0" borderId="15" xfId="82" applyFont="1" applyFill="1" applyBorder="1" applyAlignment="1">
      <alignment horizontal="center"/>
    </xf>
    <xf numFmtId="4" fontId="21" fillId="18" borderId="15" xfId="102" applyNumberFormat="1" applyFont="1" applyFill="1" applyBorder="1" applyAlignment="1">
      <alignment horizontal="center"/>
    </xf>
    <xf numFmtId="0" fontId="21" fillId="0" borderId="16" xfId="102" applyFont="1" applyBorder="1"/>
    <xf numFmtId="0" fontId="21" fillId="0" borderId="0" xfId="102" applyFont="1" applyAlignment="1">
      <alignment horizontal="center"/>
    </xf>
    <xf numFmtId="0" fontId="20" fillId="0" borderId="0" xfId="102" applyFont="1" applyAlignment="1">
      <alignment horizontal="centerContinuous"/>
    </xf>
    <xf numFmtId="0" fontId="21" fillId="0" borderId="0" xfId="102" applyFont="1" applyAlignment="1">
      <alignment horizontal="centerContinuous"/>
    </xf>
    <xf numFmtId="0" fontId="32" fillId="0" borderId="45" xfId="2" quotePrefix="1" applyFont="1" applyBorder="1" applyAlignment="1">
      <alignment horizontal="justify" vertical="center" wrapText="1"/>
    </xf>
    <xf numFmtId="0" fontId="11" fillId="0" borderId="0" xfId="6"/>
    <xf numFmtId="0" fontId="50" fillId="0" borderId="0" xfId="63" applyFont="1" applyAlignment="1">
      <alignment horizontal="center" vertical="center"/>
    </xf>
    <xf numFmtId="0" fontId="50" fillId="0" borderId="0" xfId="63" applyFont="1" applyAlignment="1">
      <alignment vertical="center" wrapText="1"/>
    </xf>
    <xf numFmtId="169" fontId="50" fillId="0" borderId="0" xfId="15" applyFont="1" applyAlignment="1">
      <alignment horizontal="center" vertical="center"/>
    </xf>
    <xf numFmtId="184" fontId="50" fillId="0" borderId="0" xfId="34" applyNumberFormat="1" applyFont="1" applyAlignment="1">
      <alignment horizontal="center" vertical="center"/>
    </xf>
    <xf numFmtId="0" fontId="50" fillId="0" borderId="0" xfId="63" applyFont="1" applyAlignment="1">
      <alignment vertical="center"/>
    </xf>
    <xf numFmtId="0" fontId="51" fillId="0" borderId="0" xfId="63" applyFont="1" applyAlignment="1">
      <alignment horizontal="center" vertical="center"/>
    </xf>
    <xf numFmtId="0" fontId="50" fillId="0" borderId="0" xfId="63" applyFont="1" applyAlignment="1">
      <alignment horizontal="left" vertical="center"/>
    </xf>
    <xf numFmtId="0" fontId="51" fillId="0" borderId="118" xfId="63" applyFont="1" applyBorder="1" applyAlignment="1">
      <alignment horizontal="left" vertical="center"/>
    </xf>
    <xf numFmtId="194" fontId="13" fillId="0" borderId="4" xfId="64" applyNumberFormat="1" applyBorder="1" applyAlignment="1">
      <alignment horizontal="center" vertical="center"/>
    </xf>
    <xf numFmtId="195" fontId="13" fillId="0" borderId="7" xfId="64" applyNumberFormat="1" applyBorder="1" applyAlignment="1">
      <alignment horizontal="center" vertical="center"/>
    </xf>
    <xf numFmtId="2" fontId="13" fillId="0" borderId="7" xfId="19" applyNumberFormat="1" applyFont="1" applyBorder="1" applyAlignment="1">
      <alignment horizontal="center" vertical="center"/>
    </xf>
    <xf numFmtId="2" fontId="13" fillId="13" borderId="7" xfId="19" applyNumberFormat="1" applyFont="1" applyFill="1" applyBorder="1" applyAlignment="1">
      <alignment horizontal="center" vertical="center"/>
    </xf>
    <xf numFmtId="2" fontId="22" fillId="0" borderId="94" xfId="19" applyNumberFormat="1" applyFont="1" applyBorder="1" applyAlignment="1">
      <alignment horizontal="center" vertical="center"/>
    </xf>
    <xf numFmtId="2" fontId="13" fillId="0" borderId="94" xfId="19" applyNumberFormat="1" applyFont="1" applyBorder="1" applyAlignment="1">
      <alignment horizontal="center" vertical="center"/>
    </xf>
    <xf numFmtId="0" fontId="20" fillId="0" borderId="72" xfId="64" applyFont="1" applyBorder="1" applyAlignment="1">
      <alignment vertical="center" wrapText="1"/>
    </xf>
    <xf numFmtId="10" fontId="52" fillId="19" borderId="44" xfId="64" applyNumberFormat="1" applyFont="1" applyFill="1" applyBorder="1" applyAlignment="1">
      <alignment horizontal="center" vertical="center"/>
    </xf>
    <xf numFmtId="2" fontId="13" fillId="0" borderId="94" xfId="19" applyNumberFormat="1" applyFont="1" applyFill="1" applyBorder="1" applyAlignment="1">
      <alignment horizontal="center" vertical="center"/>
    </xf>
    <xf numFmtId="0" fontId="20" fillId="0" borderId="78" xfId="64" applyFont="1" applyBorder="1" applyAlignment="1">
      <alignment vertical="center" wrapText="1"/>
    </xf>
    <xf numFmtId="2" fontId="13" fillId="0" borderId="16" xfId="64" applyNumberFormat="1" applyBorder="1" applyAlignment="1">
      <alignment horizontal="center" vertical="center"/>
    </xf>
    <xf numFmtId="2" fontId="50" fillId="0" borderId="0" xfId="63" applyNumberFormat="1" applyFont="1" applyAlignment="1">
      <alignment horizontal="center" vertical="center"/>
    </xf>
    <xf numFmtId="0" fontId="51" fillId="0" borderId="0" xfId="63" applyFont="1" applyAlignment="1">
      <alignment vertical="center"/>
    </xf>
    <xf numFmtId="0" fontId="53" fillId="20" borderId="124" xfId="63" applyFont="1" applyFill="1" applyBorder="1" applyAlignment="1">
      <alignment horizontal="center" vertical="center" wrapText="1"/>
    </xf>
    <xf numFmtId="0" fontId="53" fillId="20" borderId="137" xfId="63" applyFont="1" applyFill="1" applyBorder="1" applyAlignment="1">
      <alignment horizontal="center" vertical="center" wrapText="1"/>
    </xf>
    <xf numFmtId="169" fontId="53" fillId="20" borderId="137" xfId="15" applyFont="1" applyFill="1" applyBorder="1" applyAlignment="1">
      <alignment horizontal="center" vertical="center" wrapText="1"/>
    </xf>
    <xf numFmtId="184" fontId="53" fillId="20" borderId="137" xfId="34" applyNumberFormat="1" applyFont="1" applyFill="1" applyBorder="1" applyAlignment="1">
      <alignment horizontal="center" vertical="center" wrapText="1"/>
    </xf>
    <xf numFmtId="184" fontId="53" fillId="20" borderId="138" xfId="34" applyNumberFormat="1" applyFont="1" applyFill="1" applyBorder="1" applyAlignment="1">
      <alignment horizontal="center" vertical="center" wrapText="1"/>
    </xf>
    <xf numFmtId="0" fontId="50" fillId="0" borderId="12" xfId="63" applyFont="1" applyBorder="1" applyAlignment="1">
      <alignment horizontal="justify" vertical="center" wrapText="1"/>
    </xf>
    <xf numFmtId="0" fontId="5" fillId="7" borderId="95" xfId="2" applyFont="1" applyFill="1" applyBorder="1" applyAlignment="1">
      <alignment horizontal="center" vertical="center" wrapText="1"/>
    </xf>
    <xf numFmtId="0" fontId="50" fillId="0" borderId="12" xfId="63" applyFont="1" applyBorder="1" applyAlignment="1">
      <alignment horizontal="center" vertical="center" wrapText="1"/>
    </xf>
    <xf numFmtId="184" fontId="50" fillId="0" borderId="12" xfId="34" applyNumberFormat="1" applyFont="1" applyBorder="1" applyAlignment="1">
      <alignment horizontal="center" vertical="center" wrapText="1"/>
    </xf>
    <xf numFmtId="0" fontId="50" fillId="0" borderId="6" xfId="63" applyFont="1" applyBorder="1" applyAlignment="1">
      <alignment horizontal="justify" vertical="center" wrapText="1"/>
    </xf>
    <xf numFmtId="0" fontId="50" fillId="0" borderId="6" xfId="63" applyFont="1" applyBorder="1" applyAlignment="1">
      <alignment horizontal="center" vertical="center" wrapText="1"/>
    </xf>
    <xf numFmtId="184" fontId="50" fillId="0" borderId="6" xfId="34" applyNumberFormat="1" applyFont="1" applyBorder="1" applyAlignment="1">
      <alignment horizontal="center" vertical="center" wrapText="1"/>
    </xf>
    <xf numFmtId="169" fontId="50" fillId="0" borderId="6" xfId="15" applyFont="1" applyFill="1" applyBorder="1" applyAlignment="1">
      <alignment horizontal="center" vertical="center" wrapText="1"/>
    </xf>
    <xf numFmtId="184" fontId="50" fillId="0" borderId="6" xfId="34" applyNumberFormat="1" applyFont="1" applyFill="1" applyBorder="1" applyAlignment="1">
      <alignment horizontal="center" vertical="center" wrapText="1"/>
    </xf>
    <xf numFmtId="0" fontId="50" fillId="0" borderId="28" xfId="63" applyFont="1" applyBorder="1" applyAlignment="1">
      <alignment horizontal="center" vertical="center" wrapText="1"/>
    </xf>
    <xf numFmtId="0" fontId="50" fillId="0" borderId="29" xfId="63" applyFont="1" applyBorder="1" applyAlignment="1">
      <alignment horizontal="center" vertical="center" wrapText="1"/>
    </xf>
    <xf numFmtId="0" fontId="50" fillId="0" borderId="6" xfId="63" applyFont="1" applyBorder="1" applyAlignment="1">
      <alignment vertical="center" wrapText="1"/>
    </xf>
    <xf numFmtId="0" fontId="21" fillId="0" borderId="6" xfId="107" applyFont="1" applyBorder="1" applyAlignment="1">
      <alignment horizontal="justify" vertical="center" wrapText="1"/>
    </xf>
    <xf numFmtId="0" fontId="50" fillId="0" borderId="32" xfId="63" applyFont="1" applyBorder="1" applyAlignment="1">
      <alignment horizontal="center" vertical="center" wrapText="1"/>
    </xf>
    <xf numFmtId="0" fontId="50" fillId="0" borderId="29" xfId="63" applyFont="1" applyBorder="1" applyAlignment="1">
      <alignment horizontal="justify" vertical="center" wrapText="1"/>
    </xf>
    <xf numFmtId="184" fontId="50" fillId="0" borderId="29" xfId="34" applyNumberFormat="1" applyFont="1" applyBorder="1" applyAlignment="1">
      <alignment horizontal="center" vertical="center" wrapText="1"/>
    </xf>
    <xf numFmtId="165" fontId="53" fillId="20" borderId="138" xfId="34" applyFont="1" applyFill="1" applyBorder="1" applyAlignment="1">
      <alignment horizontal="center" vertical="center" wrapText="1"/>
    </xf>
    <xf numFmtId="0" fontId="53" fillId="22" borderId="139" xfId="63" applyFont="1" applyFill="1" applyBorder="1" applyAlignment="1">
      <alignment horizontal="center" vertical="center" wrapText="1"/>
    </xf>
    <xf numFmtId="0" fontId="53" fillId="22" borderId="137" xfId="63" applyFont="1" applyFill="1" applyBorder="1" applyAlignment="1">
      <alignment horizontal="center" vertical="center" wrapText="1"/>
    </xf>
    <xf numFmtId="169" fontId="53" fillId="22" borderId="137" xfId="15" applyFont="1" applyFill="1" applyBorder="1" applyAlignment="1">
      <alignment horizontal="center" vertical="center" wrapText="1"/>
    </xf>
    <xf numFmtId="184" fontId="53" fillId="22" borderId="138" xfId="34" applyNumberFormat="1" applyFont="1" applyFill="1" applyBorder="1" applyAlignment="1">
      <alignment horizontal="center" vertical="center" wrapText="1"/>
    </xf>
    <xf numFmtId="184" fontId="53" fillId="22" borderId="119" xfId="34" applyNumberFormat="1" applyFont="1" applyFill="1" applyBorder="1" applyAlignment="1">
      <alignment horizontal="center" vertical="center" wrapText="1"/>
    </xf>
    <xf numFmtId="44" fontId="50" fillId="10" borderId="12" xfId="134" applyFont="1" applyFill="1" applyBorder="1" applyAlignment="1">
      <alignment horizontal="center" vertical="center" wrapText="1"/>
    </xf>
    <xf numFmtId="44" fontId="50" fillId="0" borderId="6" xfId="134" applyFont="1" applyFill="1" applyBorder="1" applyAlignment="1">
      <alignment horizontal="center" vertical="center" wrapText="1"/>
    </xf>
    <xf numFmtId="44" fontId="50" fillId="0" borderId="0" xfId="63" applyNumberFormat="1" applyFont="1" applyAlignment="1">
      <alignment vertical="center"/>
    </xf>
    <xf numFmtId="169" fontId="50" fillId="0" borderId="12" xfId="15" applyFont="1" applyFill="1" applyBorder="1" applyAlignment="1">
      <alignment horizontal="center" vertical="center" wrapText="1"/>
    </xf>
    <xf numFmtId="44" fontId="50" fillId="0" borderId="12" xfId="134" applyFont="1" applyFill="1" applyBorder="1" applyAlignment="1">
      <alignment horizontal="center" vertical="center" wrapText="1"/>
    </xf>
    <xf numFmtId="44" fontId="50" fillId="0" borderId="12" xfId="134" applyFont="1" applyBorder="1" applyAlignment="1">
      <alignment horizontal="center" vertical="center" wrapText="1"/>
    </xf>
    <xf numFmtId="44" fontId="50" fillId="0" borderId="6" xfId="134" applyFont="1" applyBorder="1" applyAlignment="1">
      <alignment horizontal="center" vertical="center" wrapText="1"/>
    </xf>
    <xf numFmtId="169" fontId="50" fillId="10" borderId="6" xfId="15" applyFont="1" applyFill="1" applyBorder="1" applyAlignment="1">
      <alignment horizontal="center" vertical="center" wrapText="1"/>
    </xf>
    <xf numFmtId="0" fontId="50" fillId="0" borderId="12" xfId="63" applyFont="1" applyBorder="1" applyAlignment="1">
      <alignment vertical="center" wrapText="1"/>
    </xf>
    <xf numFmtId="44" fontId="50" fillId="10" borderId="6" xfId="134" applyFont="1" applyFill="1" applyBorder="1" applyAlignment="1">
      <alignment horizontal="center" vertical="center" wrapText="1"/>
    </xf>
    <xf numFmtId="0" fontId="21" fillId="0" borderId="12" xfId="63" applyFont="1" applyBorder="1" applyAlignment="1">
      <alignment vertical="center" wrapText="1"/>
    </xf>
    <xf numFmtId="44" fontId="21" fillId="0" borderId="12" xfId="134" applyFont="1" applyBorder="1" applyAlignment="1">
      <alignment horizontal="center" vertical="center" wrapText="1"/>
    </xf>
    <xf numFmtId="0" fontId="50" fillId="0" borderId="6" xfId="63" applyFont="1" applyBorder="1" applyAlignment="1">
      <alignment vertical="center"/>
    </xf>
    <xf numFmtId="43" fontId="50" fillId="0" borderId="0" xfId="133" applyFont="1" applyAlignment="1">
      <alignment vertical="center"/>
    </xf>
    <xf numFmtId="0" fontId="50" fillId="3" borderId="6" xfId="63" applyFont="1" applyFill="1" applyBorder="1" applyAlignment="1">
      <alignment vertical="center" wrapText="1"/>
    </xf>
    <xf numFmtId="44" fontId="50" fillId="3" borderId="6" xfId="134" applyFont="1" applyFill="1" applyBorder="1" applyAlignment="1">
      <alignment horizontal="center" vertical="center" wrapText="1"/>
    </xf>
    <xf numFmtId="165" fontId="53" fillId="22" borderId="138" xfId="34" applyFont="1" applyFill="1" applyBorder="1" applyAlignment="1">
      <alignment horizontal="center" vertical="center" wrapText="1"/>
    </xf>
    <xf numFmtId="0" fontId="53" fillId="24" borderId="124" xfId="63" applyFont="1" applyFill="1" applyBorder="1" applyAlignment="1">
      <alignment horizontal="center" vertical="center" wrapText="1"/>
    </xf>
    <xf numFmtId="0" fontId="53" fillId="24" borderId="137" xfId="63" applyFont="1" applyFill="1" applyBorder="1" applyAlignment="1">
      <alignment horizontal="center" vertical="center" wrapText="1"/>
    </xf>
    <xf numFmtId="169" fontId="53" fillId="24" borderId="137" xfId="15" applyFont="1" applyFill="1" applyBorder="1" applyAlignment="1">
      <alignment horizontal="center" vertical="center" wrapText="1"/>
    </xf>
    <xf numFmtId="184" fontId="53" fillId="24" borderId="137" xfId="34" applyNumberFormat="1" applyFont="1" applyFill="1" applyBorder="1" applyAlignment="1">
      <alignment horizontal="center" vertical="center" wrapText="1"/>
    </xf>
    <xf numFmtId="184" fontId="53" fillId="24" borderId="138" xfId="34" applyNumberFormat="1" applyFont="1" applyFill="1" applyBorder="1" applyAlignment="1">
      <alignment horizontal="center" vertical="center" wrapText="1"/>
    </xf>
    <xf numFmtId="184" fontId="50" fillId="10" borderId="12" xfId="34" applyNumberFormat="1" applyFont="1" applyFill="1" applyBorder="1" applyAlignment="1">
      <alignment horizontal="center" vertical="center" wrapText="1"/>
    </xf>
    <xf numFmtId="184" fontId="50" fillId="10" borderId="6" xfId="34" applyNumberFormat="1" applyFont="1" applyFill="1" applyBorder="1" applyAlignment="1">
      <alignment horizontal="center" vertical="center" wrapText="1"/>
    </xf>
    <xf numFmtId="165" fontId="50" fillId="10" borderId="6" xfId="34" applyFont="1" applyFill="1" applyBorder="1" applyAlignment="1">
      <alignment horizontal="center" vertical="center" wrapText="1"/>
    </xf>
    <xf numFmtId="0" fontId="55" fillId="0" borderId="0" xfId="63" applyFont="1" applyAlignment="1">
      <alignment vertical="center"/>
    </xf>
    <xf numFmtId="165" fontId="53" fillId="24" borderId="138" xfId="34" applyFont="1" applyFill="1" applyBorder="1" applyAlignment="1">
      <alignment horizontal="center" vertical="center" wrapText="1"/>
    </xf>
    <xf numFmtId="0" fontId="50" fillId="26" borderId="47" xfId="63" applyFont="1" applyFill="1" applyBorder="1" applyAlignment="1">
      <alignment horizontal="center" vertical="center" wrapText="1"/>
    </xf>
    <xf numFmtId="0" fontId="50" fillId="26" borderId="43" xfId="63" applyFont="1" applyFill="1" applyBorder="1" applyAlignment="1">
      <alignment horizontal="center" vertical="center" wrapText="1"/>
    </xf>
    <xf numFmtId="0" fontId="53" fillId="26" borderId="43" xfId="63" applyFont="1" applyFill="1" applyBorder="1" applyAlignment="1">
      <alignment horizontal="center" vertical="center" wrapText="1"/>
    </xf>
    <xf numFmtId="169" fontId="53" fillId="26" borderId="43" xfId="15" applyFont="1" applyFill="1" applyBorder="1" applyAlignment="1">
      <alignment horizontal="center" vertical="center" wrapText="1"/>
    </xf>
    <xf numFmtId="184" fontId="53" fillId="26" borderId="43" xfId="34" applyNumberFormat="1" applyFont="1" applyFill="1" applyBorder="1" applyAlignment="1">
      <alignment horizontal="center" vertical="center" wrapText="1"/>
    </xf>
    <xf numFmtId="184" fontId="53" fillId="26" borderId="38" xfId="34" applyNumberFormat="1" applyFont="1" applyFill="1" applyBorder="1" applyAlignment="1">
      <alignment horizontal="center" vertical="center" wrapText="1"/>
    </xf>
    <xf numFmtId="184" fontId="50" fillId="0" borderId="6" xfId="34" applyNumberFormat="1" applyFont="1" applyFill="1" applyBorder="1" applyAlignment="1">
      <alignment horizontal="center" vertical="center"/>
    </xf>
    <xf numFmtId="43" fontId="51" fillId="0" borderId="0" xfId="63" applyNumberFormat="1" applyFont="1" applyAlignment="1">
      <alignment horizontal="center" vertical="center"/>
    </xf>
    <xf numFmtId="169" fontId="50" fillId="0" borderId="6" xfId="15" applyFont="1" applyFill="1" applyBorder="1" applyAlignment="1">
      <alignment horizontal="center" vertical="center"/>
    </xf>
    <xf numFmtId="169" fontId="50" fillId="10" borderId="6" xfId="15" applyFont="1" applyFill="1" applyBorder="1" applyAlignment="1">
      <alignment horizontal="center" vertical="center"/>
    </xf>
    <xf numFmtId="184" fontId="50" fillId="10" borderId="6" xfId="34" applyNumberFormat="1" applyFont="1" applyFill="1" applyBorder="1" applyAlignment="1">
      <alignment horizontal="center" vertical="center"/>
    </xf>
    <xf numFmtId="169" fontId="50" fillId="0" borderId="29" xfId="15" applyFont="1" applyFill="1" applyBorder="1" applyAlignment="1">
      <alignment horizontal="center" vertical="center"/>
    </xf>
    <xf numFmtId="184" fontId="50" fillId="0" borderId="29" xfId="34" applyNumberFormat="1" applyFont="1" applyFill="1" applyBorder="1" applyAlignment="1">
      <alignment horizontal="center" vertical="center"/>
    </xf>
    <xf numFmtId="165" fontId="53" fillId="26" borderId="138" xfId="34" applyFont="1" applyFill="1" applyBorder="1" applyAlignment="1">
      <alignment horizontal="center" vertical="center" wrapText="1"/>
    </xf>
    <xf numFmtId="165" fontId="20" fillId="11" borderId="44" xfId="34" applyFont="1" applyFill="1" applyBorder="1" applyAlignment="1">
      <alignment horizontal="center" vertical="center" wrapText="1"/>
    </xf>
    <xf numFmtId="0" fontId="38" fillId="0" borderId="6" xfId="0" applyFont="1" applyBorder="1" applyAlignment="1">
      <alignment horizontal="left"/>
    </xf>
    <xf numFmtId="169" fontId="21" fillId="0" borderId="12" xfId="15" applyFont="1" applyFill="1" applyBorder="1" applyAlignment="1">
      <alignment horizontal="center" vertical="center" wrapText="1"/>
    </xf>
    <xf numFmtId="184" fontId="50" fillId="0" borderId="12" xfId="34" applyNumberFormat="1" applyFont="1" applyFill="1" applyBorder="1" applyAlignment="1">
      <alignment horizontal="center" vertical="center" wrapText="1"/>
    </xf>
    <xf numFmtId="169" fontId="50" fillId="10" borderId="12" xfId="15" applyFont="1" applyFill="1" applyBorder="1" applyAlignment="1">
      <alignment horizontal="center" vertical="center" wrapText="1"/>
    </xf>
    <xf numFmtId="187" fontId="50" fillId="10" borderId="6" xfId="15" applyNumberFormat="1" applyFont="1" applyFill="1" applyBorder="1" applyAlignment="1">
      <alignment horizontal="center" vertical="center" wrapText="1"/>
    </xf>
    <xf numFmtId="184" fontId="50" fillId="10" borderId="29" xfId="34" applyNumberFormat="1" applyFont="1" applyFill="1" applyBorder="1" applyAlignment="1">
      <alignment horizontal="center" vertical="center" wrapText="1"/>
    </xf>
    <xf numFmtId="184" fontId="50" fillId="0" borderId="12" xfId="34" applyNumberFormat="1" applyFont="1" applyFill="1" applyBorder="1" applyAlignment="1">
      <alignment horizontal="center" vertical="center"/>
    </xf>
    <xf numFmtId="0" fontId="56" fillId="0" borderId="6" xfId="148" applyFont="1" applyBorder="1" applyAlignment="1">
      <alignment horizontal="justify" vertical="center"/>
    </xf>
    <xf numFmtId="0" fontId="21" fillId="0" borderId="6" xfId="148" applyFont="1" applyBorder="1" applyAlignment="1">
      <alignment horizontal="justify" vertical="center"/>
    </xf>
    <xf numFmtId="0" fontId="50" fillId="0" borderId="29" xfId="63" applyFont="1" applyBorder="1" applyAlignment="1">
      <alignment vertical="center" wrapText="1"/>
    </xf>
    <xf numFmtId="0" fontId="50" fillId="0" borderId="29" xfId="63" applyFont="1" applyBorder="1" applyAlignment="1">
      <alignment horizontal="center" vertical="center"/>
    </xf>
    <xf numFmtId="2" fontId="50" fillId="0" borderId="0" xfId="63" applyNumberFormat="1" applyFont="1" applyAlignment="1">
      <alignment vertical="center"/>
    </xf>
    <xf numFmtId="192" fontId="50" fillId="0" borderId="0" xfId="63" applyNumberFormat="1" applyFont="1" applyAlignment="1">
      <alignment vertical="center"/>
    </xf>
    <xf numFmtId="169" fontId="50" fillId="28" borderId="6" xfId="15" applyFont="1" applyFill="1" applyBorder="1" applyAlignment="1">
      <alignment horizontal="center" vertical="center" wrapText="1"/>
    </xf>
    <xf numFmtId="169" fontId="50" fillId="28" borderId="12" xfId="15" applyFont="1" applyFill="1" applyBorder="1" applyAlignment="1">
      <alignment horizontal="center" vertical="center" wrapText="1"/>
    </xf>
    <xf numFmtId="10" fontId="3" fillId="0" borderId="64" xfId="1" applyNumberFormat="1" applyFont="1" applyFill="1" applyBorder="1" applyAlignment="1" applyProtection="1">
      <alignment horizontal="center" vertical="center" wrapText="1"/>
    </xf>
    <xf numFmtId="184" fontId="50" fillId="10" borderId="29" xfId="34" applyNumberFormat="1" applyFont="1" applyFill="1" applyBorder="1" applyAlignment="1">
      <alignment horizontal="center" vertical="center"/>
    </xf>
    <xf numFmtId="169" fontId="50" fillId="10" borderId="29" xfId="15" applyFont="1" applyFill="1" applyBorder="1" applyAlignment="1">
      <alignment horizontal="center" vertical="center"/>
    </xf>
    <xf numFmtId="10" fontId="51" fillId="0" borderId="44" xfId="1" applyNumberFormat="1" applyFont="1" applyBorder="1" applyAlignment="1">
      <alignment horizontal="center" vertical="center"/>
    </xf>
    <xf numFmtId="0" fontId="20" fillId="0" borderId="0" xfId="50" quotePrefix="1" applyFont="1" applyAlignment="1">
      <alignment horizontal="left" vertical="center"/>
    </xf>
    <xf numFmtId="0" fontId="20" fillId="0" borderId="0" xfId="50" applyFont="1" applyAlignment="1">
      <alignment vertical="center"/>
    </xf>
    <xf numFmtId="0" fontId="21" fillId="0" borderId="0" xfId="50" applyFont="1" applyAlignment="1">
      <alignment vertical="center"/>
    </xf>
    <xf numFmtId="0" fontId="13" fillId="0" borderId="0" xfId="50" applyAlignment="1">
      <alignment vertical="center"/>
    </xf>
    <xf numFmtId="3" fontId="21" fillId="0" borderId="6" xfId="0" applyNumberFormat="1" applyFont="1" applyBorder="1" applyAlignment="1">
      <alignment horizontal="center" vertical="center" wrapText="1"/>
    </xf>
    <xf numFmtId="3" fontId="21" fillId="3" borderId="6" xfId="102" applyNumberFormat="1" applyFont="1" applyFill="1" applyBorder="1" applyAlignment="1">
      <alignment vertical="center" wrapText="1"/>
    </xf>
    <xf numFmtId="178" fontId="21" fillId="0" borderId="6" xfId="0" applyNumberFormat="1" applyFont="1" applyBorder="1" applyAlignment="1">
      <alignment horizontal="center" vertical="center" wrapText="1"/>
    </xf>
    <xf numFmtId="4" fontId="21" fillId="0" borderId="7" xfId="0" applyNumberFormat="1" applyFont="1" applyBorder="1" applyAlignment="1">
      <alignment horizontal="right" vertical="center" wrapText="1"/>
    </xf>
    <xf numFmtId="3" fontId="21" fillId="18" borderId="6" xfId="0" applyNumberFormat="1" applyFont="1" applyFill="1" applyBorder="1" applyAlignment="1">
      <alignment horizontal="right" vertical="center" wrapText="1"/>
    </xf>
    <xf numFmtId="0" fontId="21" fillId="0" borderId="6" xfId="102" applyFont="1" applyBorder="1" applyAlignment="1">
      <alignment horizontal="center"/>
    </xf>
    <xf numFmtId="3" fontId="21" fillId="3" borderId="6" xfId="0" applyNumberFormat="1" applyFont="1" applyFill="1" applyBorder="1" applyAlignment="1">
      <alignment horizontal="right"/>
    </xf>
    <xf numFmtId="0" fontId="7" fillId="9" borderId="72" xfId="2" applyFont="1" applyFill="1" applyBorder="1" applyAlignment="1">
      <alignment horizontal="center" vertical="center" wrapText="1" shrinkToFit="1"/>
    </xf>
    <xf numFmtId="4" fontId="21" fillId="0" borderId="7" xfId="102" applyNumberFormat="1" applyFont="1" applyBorder="1" applyAlignment="1">
      <alignment horizontal="right" vertical="center" wrapText="1"/>
    </xf>
    <xf numFmtId="3" fontId="21" fillId="18" borderId="6" xfId="0" applyNumberFormat="1" applyFont="1" applyFill="1" applyBorder="1" applyAlignment="1">
      <alignment horizontal="right"/>
    </xf>
    <xf numFmtId="3" fontId="21" fillId="18" borderId="29" xfId="102" applyNumberFormat="1" applyFont="1" applyFill="1" applyBorder="1" applyAlignment="1">
      <alignment horizontal="center"/>
    </xf>
    <xf numFmtId="3" fontId="21" fillId="3" borderId="29" xfId="102" applyNumberFormat="1" applyFont="1" applyFill="1" applyBorder="1"/>
    <xf numFmtId="0" fontId="13" fillId="0" borderId="0" xfId="0" applyFont="1"/>
    <xf numFmtId="3" fontId="21" fillId="18" borderId="6" xfId="0" applyNumberFormat="1" applyFont="1" applyFill="1" applyBorder="1" applyAlignment="1">
      <alignment horizontal="center"/>
    </xf>
    <xf numFmtId="3" fontId="21" fillId="18" borderId="6" xfId="0" applyNumberFormat="1" applyFont="1" applyFill="1" applyBorder="1"/>
    <xf numFmtId="178" fontId="21" fillId="18" borderId="6" xfId="0" applyNumberFormat="1" applyFont="1" applyFill="1" applyBorder="1" applyAlignment="1">
      <alignment horizontal="center"/>
    </xf>
    <xf numFmtId="4" fontId="21" fillId="18" borderId="7" xfId="0" applyNumberFormat="1" applyFont="1" applyFill="1" applyBorder="1"/>
    <xf numFmtId="0" fontId="21" fillId="0" borderId="69" xfId="102" applyFont="1" applyBorder="1"/>
    <xf numFmtId="0" fontId="21" fillId="0" borderId="33" xfId="102" applyFont="1" applyBorder="1"/>
    <xf numFmtId="3" fontId="21" fillId="3" borderId="6" xfId="102" applyNumberFormat="1" applyFont="1" applyFill="1" applyBorder="1" applyAlignment="1">
      <alignment horizontal="center" vertical="center" wrapText="1"/>
    </xf>
    <xf numFmtId="0" fontId="57" fillId="0" borderId="141" xfId="0" applyFont="1" applyBorder="1" applyAlignment="1">
      <alignment horizontal="center" vertical="center"/>
    </xf>
    <xf numFmtId="0" fontId="57" fillId="0" borderId="141" xfId="0" applyFont="1" applyBorder="1" applyAlignment="1">
      <alignment horizontal="center" vertical="center" wrapText="1"/>
    </xf>
    <xf numFmtId="0" fontId="57" fillId="0" borderId="142" xfId="0" applyFont="1" applyBorder="1" applyAlignment="1">
      <alignment horizontal="center" vertical="center"/>
    </xf>
    <xf numFmtId="0" fontId="57" fillId="29" borderId="66" xfId="0" applyFont="1" applyFill="1" applyBorder="1" applyAlignment="1">
      <alignment horizontal="center" vertical="center"/>
    </xf>
    <xf numFmtId="0" fontId="57" fillId="29" borderId="66" xfId="0" applyFont="1" applyFill="1" applyBorder="1" applyAlignment="1">
      <alignment horizontal="left" vertical="center" wrapText="1"/>
    </xf>
    <xf numFmtId="0" fontId="57" fillId="30" borderId="66" xfId="0" applyFont="1" applyFill="1" applyBorder="1" applyAlignment="1">
      <alignment horizontal="center" vertical="center" wrapText="1"/>
    </xf>
    <xf numFmtId="0" fontId="57" fillId="0" borderId="66" xfId="0" applyFont="1" applyBorder="1" applyAlignment="1">
      <alignment horizontal="center" vertical="center"/>
    </xf>
    <xf numFmtId="0" fontId="58" fillId="0" borderId="66" xfId="0" applyFont="1" applyBorder="1" applyAlignment="1">
      <alignment horizontal="center" vertical="center"/>
    </xf>
    <xf numFmtId="196" fontId="23" fillId="0" borderId="66" xfId="0" applyNumberFormat="1" applyFont="1" applyBorder="1" applyAlignment="1">
      <alignment horizontal="center" vertical="center"/>
    </xf>
    <xf numFmtId="0" fontId="58" fillId="31" borderId="66" xfId="0" applyFont="1" applyFill="1" applyBorder="1" applyAlignment="1">
      <alignment horizontal="center" vertical="center"/>
    </xf>
    <xf numFmtId="44" fontId="13" fillId="31" borderId="66" xfId="134" applyFont="1" applyFill="1" applyBorder="1" applyAlignment="1">
      <alignment horizontal="center" vertical="center"/>
    </xf>
    <xf numFmtId="0" fontId="57" fillId="32" borderId="66" xfId="0" applyFont="1" applyFill="1" applyBorder="1" applyAlignment="1">
      <alignment horizontal="center" vertical="center"/>
    </xf>
    <xf numFmtId="0" fontId="13" fillId="31" borderId="66" xfId="0" applyFont="1" applyFill="1" applyBorder="1" applyAlignment="1">
      <alignment horizontal="center" vertical="center"/>
    </xf>
    <xf numFmtId="196" fontId="59" fillId="0" borderId="6" xfId="0" applyNumberFormat="1" applyFont="1" applyBorder="1"/>
    <xf numFmtId="186" fontId="8" fillId="0" borderId="12" xfId="1" quotePrefix="1" applyNumberFormat="1" applyFont="1" applyBorder="1" applyAlignment="1">
      <alignment horizontal="center" vertical="center"/>
    </xf>
    <xf numFmtId="0" fontId="2" fillId="3" borderId="6" xfId="2" quotePrefix="1" applyFont="1" applyFill="1" applyBorder="1" applyAlignment="1">
      <alignment horizontal="justify" vertical="center" wrapText="1"/>
    </xf>
    <xf numFmtId="0" fontId="6" fillId="6" borderId="71" xfId="2" applyFont="1" applyFill="1" applyBorder="1" applyAlignment="1">
      <alignment horizontal="center" vertical="center" wrapText="1"/>
    </xf>
    <xf numFmtId="0" fontId="7" fillId="9" borderId="84" xfId="2" quotePrefix="1" applyFont="1" applyFill="1" applyBorder="1" applyAlignment="1">
      <alignment horizontal="center" vertical="center" wrapText="1"/>
    </xf>
    <xf numFmtId="0" fontId="6" fillId="6" borderId="72" xfId="2" applyFont="1" applyFill="1" applyBorder="1" applyAlignment="1">
      <alignment horizontal="center" vertical="center" wrapText="1"/>
    </xf>
    <xf numFmtId="0" fontId="2" fillId="9" borderId="55" xfId="2" quotePrefix="1" applyFont="1" applyFill="1" applyBorder="1" applyAlignment="1">
      <alignment horizontal="center" vertical="center" wrapText="1"/>
    </xf>
    <xf numFmtId="0" fontId="6" fillId="6" borderId="83" xfId="2" applyFont="1" applyFill="1" applyBorder="1" applyAlignment="1">
      <alignment horizontal="justify" vertical="center" wrapText="1"/>
    </xf>
    <xf numFmtId="0" fontId="2" fillId="0" borderId="70" xfId="2" applyFont="1" applyBorder="1" applyAlignment="1">
      <alignment horizontal="justify" vertical="center" wrapText="1"/>
    </xf>
    <xf numFmtId="0" fontId="6" fillId="6" borderId="5" xfId="2" applyFont="1" applyFill="1" applyBorder="1" applyAlignment="1">
      <alignment horizontal="justify" vertical="center" wrapText="1"/>
    </xf>
    <xf numFmtId="0" fontId="2" fillId="0" borderId="5" xfId="2" applyFont="1" applyBorder="1" applyAlignment="1">
      <alignment horizontal="justify" vertical="center" wrapText="1"/>
    </xf>
    <xf numFmtId="0" fontId="2" fillId="3" borderId="7" xfId="3" applyNumberFormat="1" applyFont="1" applyFill="1" applyBorder="1" applyAlignment="1" applyProtection="1">
      <alignment horizontal="center" vertical="center"/>
    </xf>
    <xf numFmtId="0" fontId="2" fillId="0" borderId="14" xfId="2" applyFont="1" applyBorder="1" applyAlignment="1">
      <alignment horizontal="justify" vertical="center" wrapText="1"/>
    </xf>
    <xf numFmtId="0" fontId="2" fillId="3" borderId="16" xfId="3" applyNumberFormat="1" applyFont="1" applyFill="1" applyBorder="1" applyAlignment="1" applyProtection="1">
      <alignment horizontal="center" vertical="center"/>
    </xf>
    <xf numFmtId="0" fontId="36" fillId="17" borderId="6" xfId="0" applyFont="1" applyFill="1" applyBorder="1" applyAlignment="1">
      <alignment horizontal="center" vertical="center"/>
    </xf>
    <xf numFmtId="169" fontId="36" fillId="0" borderId="6" xfId="15" applyFont="1" applyFill="1" applyBorder="1" applyAlignment="1">
      <alignment horizontal="center" vertical="center"/>
    </xf>
    <xf numFmtId="184" fontId="50" fillId="0" borderId="0" xfId="134" applyNumberFormat="1" applyFont="1" applyAlignment="1">
      <alignment vertical="center"/>
    </xf>
    <xf numFmtId="169" fontId="38" fillId="0" borderId="6" xfId="15" applyFont="1" applyBorder="1" applyAlignment="1">
      <alignment horizontal="right"/>
    </xf>
    <xf numFmtId="169" fontId="36" fillId="0" borderId="6" xfId="15" applyFont="1" applyFill="1" applyBorder="1" applyAlignment="1">
      <alignment horizontal="center"/>
    </xf>
    <xf numFmtId="193" fontId="39" fillId="0" borderId="6" xfId="58" applyNumberFormat="1" applyFont="1" applyBorder="1" applyAlignment="1">
      <alignment horizontal="center" vertical="center"/>
    </xf>
    <xf numFmtId="193" fontId="39" fillId="0" borderId="6" xfId="146" applyNumberFormat="1" applyFont="1" applyFill="1" applyBorder="1" applyAlignment="1" applyProtection="1">
      <alignment horizontal="center" vertical="center"/>
    </xf>
    <xf numFmtId="0" fontId="8" fillId="3" borderId="6" xfId="2" quotePrefix="1" applyFont="1" applyFill="1" applyBorder="1" applyAlignment="1">
      <alignment horizontal="center" vertical="center"/>
    </xf>
    <xf numFmtId="0" fontId="5" fillId="7" borderId="73" xfId="2" applyFont="1" applyFill="1" applyBorder="1" applyAlignment="1">
      <alignment horizontal="center" vertical="center" wrapText="1"/>
    </xf>
    <xf numFmtId="0" fontId="5" fillId="7" borderId="80" xfId="2" applyFont="1" applyFill="1" applyBorder="1" applyAlignment="1">
      <alignment horizontal="center" vertical="center" wrapText="1"/>
    </xf>
    <xf numFmtId="164" fontId="5" fillId="8" borderId="133" xfId="2" applyNumberFormat="1" applyFont="1" applyFill="1" applyBorder="1" applyAlignment="1">
      <alignment horizontal="center" vertical="center" wrapText="1"/>
    </xf>
    <xf numFmtId="0" fontId="5" fillId="8" borderId="134" xfId="2" applyFont="1" applyFill="1" applyBorder="1" applyAlignment="1">
      <alignment horizontal="center" vertical="center" wrapText="1"/>
    </xf>
    <xf numFmtId="0" fontId="5" fillId="7" borderId="135" xfId="2" applyFont="1" applyFill="1" applyBorder="1" applyAlignment="1">
      <alignment horizontal="center" vertical="center" wrapText="1"/>
    </xf>
    <xf numFmtId="0" fontId="5" fillId="6" borderId="4" xfId="2" applyFont="1" applyFill="1" applyBorder="1" applyAlignment="1">
      <alignment horizontal="center" vertical="center" wrapText="1"/>
    </xf>
    <xf numFmtId="0" fontId="5" fillId="7" borderId="80" xfId="2" applyFont="1" applyFill="1" applyBorder="1" applyAlignment="1">
      <alignment horizontal="justify" vertical="center" wrapText="1"/>
    </xf>
    <xf numFmtId="0" fontId="8" fillId="3" borderId="6" xfId="2" quotePrefix="1" applyFont="1" applyFill="1" applyBorder="1" applyAlignment="1">
      <alignment horizontal="justify" vertical="center"/>
    </xf>
    <xf numFmtId="3" fontId="21" fillId="0" borderId="29" xfId="50" applyNumberFormat="1" applyFont="1" applyBorder="1" applyAlignment="1">
      <alignment horizontal="center" vertical="center"/>
    </xf>
    <xf numFmtId="0" fontId="45" fillId="3" borderId="0" xfId="2" applyFont="1" applyFill="1" applyAlignment="1">
      <alignment horizontal="center" vertical="center"/>
    </xf>
    <xf numFmtId="0" fontId="49" fillId="0" borderId="0" xfId="0" applyFont="1"/>
    <xf numFmtId="4" fontId="21" fillId="33" borderId="6" xfId="50" applyNumberFormat="1" applyFont="1" applyFill="1" applyBorder="1"/>
    <xf numFmtId="166" fontId="9" fillId="3" borderId="7" xfId="2" quotePrefix="1" applyNumberFormat="1" applyFont="1" applyFill="1" applyBorder="1" applyAlignment="1">
      <alignment horizontal="center" vertical="center" wrapText="1"/>
    </xf>
    <xf numFmtId="4" fontId="21" fillId="0" borderId="29" xfId="50" applyNumberFormat="1" applyFont="1" applyBorder="1" applyAlignment="1">
      <alignment vertical="center"/>
    </xf>
    <xf numFmtId="4" fontId="21" fillId="0" borderId="45" xfId="50" applyNumberFormat="1" applyFont="1" applyBorder="1" applyAlignment="1">
      <alignment vertical="center"/>
    </xf>
    <xf numFmtId="3" fontId="21" fillId="0" borderId="6" xfId="50" applyNumberFormat="1" applyFont="1" applyBorder="1" applyAlignment="1">
      <alignment vertical="center"/>
    </xf>
    <xf numFmtId="4" fontId="21" fillId="0" borderId="6" xfId="50" applyNumberFormat="1" applyFont="1" applyBorder="1" applyAlignment="1">
      <alignment vertical="center"/>
    </xf>
    <xf numFmtId="3" fontId="21" fillId="0" borderId="6" xfId="50" applyNumberFormat="1" applyFont="1" applyBorder="1" applyAlignment="1">
      <alignment horizontal="center" vertical="center"/>
    </xf>
    <xf numFmtId="0" fontId="21" fillId="0" borderId="85" xfId="50" applyFont="1" applyBorder="1" applyAlignment="1">
      <alignment vertical="center" wrapText="1"/>
    </xf>
    <xf numFmtId="0" fontId="21" fillId="0" borderId="64" xfId="50" applyFont="1" applyBorder="1" applyAlignment="1">
      <alignment vertical="center" wrapText="1"/>
    </xf>
    <xf numFmtId="0" fontId="21" fillId="0" borderId="40" xfId="50" applyFont="1" applyBorder="1" applyAlignment="1">
      <alignment vertical="center" wrapText="1"/>
    </xf>
    <xf numFmtId="4" fontId="21" fillId="28" borderId="6" xfId="50" applyNumberFormat="1" applyFont="1" applyFill="1" applyBorder="1"/>
    <xf numFmtId="3" fontId="21" fillId="28" borderId="6" xfId="50" applyNumberFormat="1" applyFont="1" applyFill="1" applyBorder="1"/>
    <xf numFmtId="3" fontId="21" fillId="28" borderId="6" xfId="50" applyNumberFormat="1" applyFont="1" applyFill="1" applyBorder="1" applyAlignment="1">
      <alignment vertical="center"/>
    </xf>
    <xf numFmtId="3" fontId="21" fillId="28" borderId="6" xfId="102" applyNumberFormat="1" applyFont="1" applyFill="1" applyBorder="1"/>
    <xf numFmtId="3" fontId="21" fillId="33" borderId="6" xfId="102" applyNumberFormat="1" applyFont="1" applyFill="1" applyBorder="1"/>
    <xf numFmtId="3" fontId="21" fillId="33" borderId="6" xfId="50" applyNumberFormat="1" applyFont="1" applyFill="1" applyBorder="1"/>
    <xf numFmtId="179" fontId="21" fillId="33" borderId="6" xfId="50" applyNumberFormat="1" applyFont="1" applyFill="1" applyBorder="1"/>
    <xf numFmtId="3" fontId="21" fillId="33" borderId="6" xfId="50" applyNumberFormat="1" applyFont="1" applyFill="1" applyBorder="1" applyAlignment="1">
      <alignment vertical="center"/>
    </xf>
    <xf numFmtId="164" fontId="2" fillId="33" borderId="6" xfId="3" applyFont="1" applyFill="1" applyBorder="1" applyAlignment="1" applyProtection="1">
      <alignment horizontal="center" vertical="center" wrapText="1"/>
    </xf>
    <xf numFmtId="3" fontId="21" fillId="33" borderId="29" xfId="50" applyNumberFormat="1" applyFont="1" applyFill="1" applyBorder="1" applyAlignment="1">
      <alignment vertical="center"/>
    </xf>
    <xf numFmtId="0" fontId="2" fillId="9" borderId="5" xfId="2" applyFont="1" applyFill="1" applyBorder="1" applyAlignment="1">
      <alignment horizontal="center" vertical="center" wrapText="1"/>
    </xf>
    <xf numFmtId="186" fontId="8" fillId="0" borderId="15" xfId="1" quotePrefix="1" applyNumberFormat="1" applyFont="1" applyBorder="1" applyAlignment="1">
      <alignment horizontal="center" vertical="center"/>
    </xf>
    <xf numFmtId="166" fontId="9" fillId="0" borderId="38" xfId="2" quotePrefix="1" applyNumberFormat="1" applyFont="1" applyBorder="1" applyAlignment="1">
      <alignment horizontal="center" vertical="center"/>
    </xf>
    <xf numFmtId="0" fontId="4" fillId="0" borderId="45" xfId="2" quotePrefix="1" applyFont="1" applyBorder="1" applyAlignment="1">
      <alignment horizontal="center" vertical="center" wrapText="1"/>
    </xf>
    <xf numFmtId="0" fontId="32" fillId="0" borderId="45" xfId="2" quotePrefix="1" applyFont="1" applyBorder="1" applyAlignment="1">
      <alignment horizontal="center" vertical="center" wrapText="1"/>
    </xf>
    <xf numFmtId="0" fontId="20" fillId="0" borderId="0" xfId="50" applyFont="1" applyAlignment="1">
      <alignment horizontal="left" vertical="center"/>
    </xf>
    <xf numFmtId="0" fontId="21" fillId="0" borderId="0" xfId="50" applyFont="1" applyAlignment="1">
      <alignment horizontal="center" vertical="center"/>
    </xf>
    <xf numFmtId="3" fontId="21" fillId="33" borderId="6" xfId="102" applyNumberFormat="1" applyFont="1" applyFill="1" applyBorder="1" applyAlignment="1">
      <alignment vertical="center" wrapText="1"/>
    </xf>
    <xf numFmtId="9" fontId="21" fillId="0" borderId="0" xfId="1" applyFont="1" applyAlignment="1">
      <alignment horizontal="center"/>
    </xf>
    <xf numFmtId="188" fontId="3" fillId="17" borderId="6" xfId="133" applyNumberFormat="1" applyFont="1" applyFill="1" applyBorder="1" applyAlignment="1">
      <alignment horizontal="center" vertical="center" wrapText="1" shrinkToFit="1"/>
    </xf>
    <xf numFmtId="0" fontId="3" fillId="6" borderId="40" xfId="2" quotePrefix="1" applyFont="1" applyFill="1" applyBorder="1" applyAlignment="1">
      <alignment horizontal="justify" vertical="center"/>
    </xf>
    <xf numFmtId="0" fontId="3" fillId="6" borderId="12" xfId="2" quotePrefix="1" applyFont="1" applyFill="1" applyBorder="1" applyAlignment="1">
      <alignment horizontal="center" vertical="center"/>
    </xf>
    <xf numFmtId="188" fontId="3" fillId="6" borderId="12" xfId="133" quotePrefix="1" applyNumberFormat="1" applyFont="1" applyFill="1" applyBorder="1" applyAlignment="1">
      <alignment horizontal="center" vertical="center"/>
    </xf>
    <xf numFmtId="164" fontId="3" fillId="6" borderId="12" xfId="2" quotePrefix="1" applyNumberFormat="1" applyFont="1" applyFill="1" applyBorder="1" applyAlignment="1">
      <alignment horizontal="center" vertical="center"/>
    </xf>
    <xf numFmtId="166" fontId="3" fillId="6" borderId="13" xfId="2" quotePrefix="1" applyNumberFormat="1" applyFont="1" applyFill="1" applyBorder="1" applyAlignment="1">
      <alignment horizontal="center" vertical="center"/>
    </xf>
    <xf numFmtId="166" fontId="2" fillId="0" borderId="12" xfId="2" quotePrefix="1" applyNumberFormat="1" applyFont="1" applyBorder="1" applyAlignment="1">
      <alignment horizontal="justify" vertical="center" wrapText="1"/>
    </xf>
    <xf numFmtId="166" fontId="2" fillId="0" borderId="12" xfId="2" quotePrefix="1" applyNumberFormat="1" applyFont="1" applyBorder="1" applyAlignment="1">
      <alignment horizontal="center" vertical="center"/>
    </xf>
    <xf numFmtId="166" fontId="2" fillId="0" borderId="6" xfId="2" quotePrefix="1" applyNumberFormat="1" applyFont="1" applyBorder="1" applyAlignment="1">
      <alignment horizontal="justify" vertical="center" wrapText="1"/>
    </xf>
    <xf numFmtId="166" fontId="2" fillId="0" borderId="6" xfId="2" quotePrefix="1" applyNumberFormat="1" applyFont="1" applyBorder="1" applyAlignment="1">
      <alignment horizontal="center" vertical="center"/>
    </xf>
    <xf numFmtId="166" fontId="2" fillId="0" borderId="15" xfId="2" quotePrefix="1" applyNumberFormat="1" applyFont="1" applyBorder="1" applyAlignment="1">
      <alignment horizontal="justify" vertical="center" wrapText="1"/>
    </xf>
    <xf numFmtId="166" fontId="2" fillId="0" borderId="15" xfId="2" quotePrefix="1" applyNumberFormat="1" applyFont="1" applyBorder="1" applyAlignment="1">
      <alignment horizontal="center" vertical="center"/>
    </xf>
    <xf numFmtId="0" fontId="2" fillId="9" borderId="72" xfId="2" quotePrefix="1" applyFont="1" applyFill="1" applyBorder="1" applyAlignment="1">
      <alignment horizontal="center" vertical="center" wrapText="1"/>
    </xf>
    <xf numFmtId="0" fontId="2" fillId="9" borderId="84" xfId="2" quotePrefix="1" applyFont="1" applyFill="1" applyBorder="1" applyAlignment="1">
      <alignment horizontal="center" vertical="center" wrapText="1"/>
    </xf>
    <xf numFmtId="188" fontId="6" fillId="6" borderId="6" xfId="133" applyNumberFormat="1" applyFont="1" applyFill="1" applyBorder="1" applyAlignment="1">
      <alignment horizontal="center" vertical="center" wrapText="1"/>
    </xf>
    <xf numFmtId="0" fontId="5" fillId="7" borderId="136" xfId="2" applyFont="1" applyFill="1" applyBorder="1" applyAlignment="1">
      <alignment horizontal="justify" vertical="center" wrapText="1"/>
    </xf>
    <xf numFmtId="0" fontId="6" fillId="6" borderId="2" xfId="2" applyFont="1" applyFill="1" applyBorder="1" applyAlignment="1">
      <alignment horizontal="justify" vertical="center" wrapText="1"/>
    </xf>
    <xf numFmtId="0" fontId="6" fillId="6" borderId="76" xfId="2" applyFont="1" applyFill="1" applyBorder="1" applyAlignment="1">
      <alignment horizontal="center" vertical="center" wrapText="1"/>
    </xf>
    <xf numFmtId="188" fontId="6" fillId="6" borderId="3" xfId="133" applyNumberFormat="1" applyFont="1" applyFill="1" applyBorder="1" applyAlignment="1">
      <alignment horizontal="center" vertical="center" wrapText="1"/>
    </xf>
    <xf numFmtId="164" fontId="6" fillId="6" borderId="3" xfId="2" applyNumberFormat="1" applyFont="1" applyFill="1" applyBorder="1" applyAlignment="1">
      <alignment horizontal="center" vertical="center" wrapText="1"/>
    </xf>
    <xf numFmtId="0" fontId="6" fillId="6" borderId="3" xfId="2" applyFont="1" applyFill="1" applyBorder="1" applyAlignment="1">
      <alignment horizontal="center" vertical="center" wrapText="1"/>
    </xf>
    <xf numFmtId="0" fontId="2" fillId="9" borderId="78" xfId="2" quotePrefix="1" applyFont="1" applyFill="1" applyBorder="1" applyAlignment="1">
      <alignment horizontal="center" vertical="center" wrapText="1"/>
    </xf>
    <xf numFmtId="0" fontId="2" fillId="0" borderId="6" xfId="2" quotePrefix="1" applyFont="1" applyBorder="1" applyAlignment="1">
      <alignment horizontal="justify" vertical="center" wrapText="1"/>
    </xf>
    <xf numFmtId="0" fontId="50" fillId="0" borderId="66" xfId="0" applyFont="1" applyBorder="1" applyAlignment="1">
      <alignment horizontal="justify" vertical="center" wrapText="1"/>
    </xf>
    <xf numFmtId="0" fontId="50" fillId="0" borderId="66" xfId="0" applyFont="1" applyBorder="1" applyAlignment="1">
      <alignment horizontal="justify" vertical="center" wrapText="1" readingOrder="1"/>
    </xf>
    <xf numFmtId="0" fontId="57" fillId="32" borderId="66" xfId="0" applyFont="1" applyFill="1" applyBorder="1" applyAlignment="1">
      <alignment horizontal="justify" vertical="center" wrapText="1"/>
    </xf>
    <xf numFmtId="164" fontId="8" fillId="17" borderId="6" xfId="3" applyFont="1" applyFill="1" applyBorder="1" applyAlignment="1" applyProtection="1">
      <alignment horizontal="center" vertical="center" wrapText="1"/>
    </xf>
    <xf numFmtId="0" fontId="2" fillId="9" borderId="42" xfId="2" applyFont="1" applyFill="1" applyBorder="1" applyAlignment="1">
      <alignment horizontal="center" vertical="center" wrapText="1"/>
    </xf>
    <xf numFmtId="0" fontId="2" fillId="0" borderId="83" xfId="2" quotePrefix="1" applyFont="1" applyBorder="1" applyAlignment="1">
      <alignment horizontal="justify" vertical="center" wrapText="1"/>
    </xf>
    <xf numFmtId="0" fontId="2" fillId="9" borderId="83" xfId="2" applyFont="1" applyFill="1" applyBorder="1" applyAlignment="1">
      <alignment horizontal="center" vertical="center" wrapText="1"/>
    </xf>
    <xf numFmtId="164" fontId="8" fillId="17" borderId="109" xfId="3" applyFont="1" applyFill="1" applyBorder="1" applyAlignment="1" applyProtection="1">
      <alignment horizontal="center" vertical="center" wrapText="1"/>
    </xf>
    <xf numFmtId="0" fontId="3" fillId="6" borderId="44" xfId="2" applyFont="1" applyFill="1" applyBorder="1" applyAlignment="1">
      <alignment horizontal="center" vertical="center" wrapText="1"/>
    </xf>
    <xf numFmtId="0" fontId="4" fillId="6" borderId="139" xfId="2" quotePrefix="1" applyFont="1" applyFill="1" applyBorder="1" applyAlignment="1">
      <alignment horizontal="justify" vertical="center"/>
    </xf>
    <xf numFmtId="0" fontId="4" fillId="6" borderId="137" xfId="2" quotePrefix="1" applyFont="1" applyFill="1" applyBorder="1" applyAlignment="1">
      <alignment horizontal="center" vertical="center"/>
    </xf>
    <xf numFmtId="188" fontId="4" fillId="6" borderId="137" xfId="133" quotePrefix="1" applyNumberFormat="1" applyFont="1" applyFill="1" applyBorder="1" applyAlignment="1">
      <alignment horizontal="center" vertical="center"/>
    </xf>
    <xf numFmtId="164" fontId="4" fillId="6" borderId="137" xfId="2" quotePrefix="1" applyNumberFormat="1" applyFont="1" applyFill="1" applyBorder="1" applyAlignment="1">
      <alignment horizontal="center" vertical="center"/>
    </xf>
    <xf numFmtId="166" fontId="4" fillId="6" borderId="138" xfId="2" quotePrefix="1" applyNumberFormat="1" applyFont="1" applyFill="1" applyBorder="1" applyAlignment="1">
      <alignment horizontal="center" vertical="center"/>
    </xf>
    <xf numFmtId="0" fontId="2" fillId="9" borderId="24" xfId="2" applyFont="1" applyFill="1" applyBorder="1" applyAlignment="1">
      <alignment horizontal="center" vertical="center" wrapText="1"/>
    </xf>
    <xf numFmtId="166" fontId="8" fillId="0" borderId="26" xfId="2" quotePrefix="1" applyNumberFormat="1" applyFont="1" applyBorder="1" applyAlignment="1">
      <alignment horizontal="center" vertical="center"/>
    </xf>
    <xf numFmtId="188" fontId="8" fillId="0" borderId="26" xfId="133" quotePrefix="1" applyNumberFormat="1" applyFont="1" applyBorder="1" applyAlignment="1">
      <alignment horizontal="center" vertical="center"/>
    </xf>
    <xf numFmtId="186" fontId="8" fillId="0" borderId="26" xfId="1" quotePrefix="1" applyNumberFormat="1" applyFont="1" applyBorder="1" applyAlignment="1">
      <alignment horizontal="center" vertical="center"/>
    </xf>
    <xf numFmtId="166" fontId="9" fillId="0" borderId="30" xfId="2" quotePrefix="1" applyNumberFormat="1" applyFont="1" applyBorder="1" applyAlignment="1">
      <alignment horizontal="center" vertical="center"/>
    </xf>
    <xf numFmtId="0" fontId="5" fillId="7" borderId="136" xfId="2" applyFont="1" applyFill="1" applyBorder="1" applyAlignment="1">
      <alignment horizontal="center" vertical="center" wrapText="1"/>
    </xf>
    <xf numFmtId="0" fontId="2" fillId="9" borderId="41" xfId="2" applyFont="1" applyFill="1" applyBorder="1" applyAlignment="1">
      <alignment horizontal="center" vertical="center" wrapText="1"/>
    </xf>
    <xf numFmtId="188" fontId="7" fillId="0" borderId="12" xfId="133" applyNumberFormat="1" applyFont="1" applyFill="1" applyBorder="1" applyAlignment="1">
      <alignment horizontal="center" vertical="center" wrapText="1"/>
    </xf>
    <xf numFmtId="164" fontId="2" fillId="17" borderId="26" xfId="4" quotePrefix="1" applyNumberFormat="1" applyFont="1" applyFill="1" applyBorder="1" applyAlignment="1">
      <alignment horizontal="center" vertical="center"/>
    </xf>
    <xf numFmtId="43" fontId="8" fillId="0" borderId="12" xfId="133" quotePrefix="1" applyFont="1" applyBorder="1" applyAlignment="1">
      <alignment horizontal="center" vertical="center"/>
    </xf>
    <xf numFmtId="43" fontId="8" fillId="0" borderId="15" xfId="133" quotePrefix="1" applyFont="1" applyBorder="1" applyAlignment="1">
      <alignment horizontal="center" vertical="center"/>
    </xf>
    <xf numFmtId="10" fontId="0" fillId="0" borderId="0" xfId="1" applyNumberFormat="1" applyFont="1"/>
    <xf numFmtId="43" fontId="13" fillId="0" borderId="0" xfId="133" applyFont="1"/>
    <xf numFmtId="0" fontId="3" fillId="33" borderId="5" xfId="2" applyFont="1" applyFill="1" applyBorder="1" applyAlignment="1">
      <alignment horizontal="justify" vertical="center" wrapText="1"/>
    </xf>
    <xf numFmtId="43" fontId="45" fillId="3" borderId="0" xfId="133" applyFont="1" applyFill="1" applyAlignment="1">
      <alignment horizontal="left" vertical="center"/>
    </xf>
    <xf numFmtId="0" fontId="6" fillId="28" borderId="5" xfId="2" applyFont="1" applyFill="1" applyBorder="1" applyAlignment="1">
      <alignment horizontal="justify" vertical="center" wrapText="1"/>
    </xf>
    <xf numFmtId="0" fontId="6" fillId="6" borderId="116" xfId="2" applyFont="1" applyFill="1" applyBorder="1" applyAlignment="1">
      <alignment horizontal="center" vertical="center" wrapText="1"/>
    </xf>
    <xf numFmtId="0" fontId="3" fillId="33" borderId="6" xfId="2" quotePrefix="1" applyFont="1" applyFill="1" applyBorder="1" applyAlignment="1">
      <alignment horizontal="justify" vertical="center" wrapText="1"/>
    </xf>
    <xf numFmtId="10" fontId="2" fillId="3" borderId="0" xfId="1" applyNumberFormat="1" applyFont="1" applyFill="1" applyAlignment="1">
      <alignment horizontal="center" vertical="center"/>
    </xf>
    <xf numFmtId="0" fontId="7" fillId="9" borderId="78" xfId="2" applyFont="1" applyFill="1" applyBorder="1" applyAlignment="1">
      <alignment horizontal="center" vertical="center" wrapText="1" shrinkToFit="1"/>
    </xf>
    <xf numFmtId="0" fontId="2" fillId="3" borderId="15" xfId="2" quotePrefix="1" applyFont="1" applyFill="1" applyBorder="1" applyAlignment="1">
      <alignment horizontal="justify" vertical="center" wrapText="1"/>
    </xf>
    <xf numFmtId="188" fontId="8" fillId="0" borderId="15" xfId="133" applyNumberFormat="1" applyFont="1" applyBorder="1" applyAlignment="1">
      <alignment horizontal="center" vertical="center" wrapText="1" shrinkToFit="1"/>
    </xf>
    <xf numFmtId="0" fontId="32" fillId="0" borderId="16" xfId="2" quotePrefix="1" applyFont="1" applyBorder="1" applyAlignment="1">
      <alignment horizontal="justify" vertical="center" wrapText="1"/>
    </xf>
    <xf numFmtId="184" fontId="2" fillId="0" borderId="0" xfId="102" applyNumberFormat="1" applyFont="1"/>
    <xf numFmtId="188" fontId="3" fillId="10" borderId="6" xfId="133" applyNumberFormat="1" applyFont="1" applyFill="1" applyBorder="1" applyAlignment="1">
      <alignment horizontal="center" vertical="center" wrapText="1"/>
    </xf>
    <xf numFmtId="10" fontId="0" fillId="0" borderId="0" xfId="1" applyNumberFormat="1" applyFont="1" applyAlignment="1">
      <alignment horizontal="center"/>
    </xf>
    <xf numFmtId="178" fontId="21" fillId="10" borderId="6" xfId="102" applyNumberFormat="1" applyFont="1" applyFill="1" applyBorder="1" applyAlignment="1">
      <alignment horizontal="center"/>
    </xf>
    <xf numFmtId="10" fontId="13" fillId="0" borderId="0" xfId="1" applyNumberFormat="1" applyFont="1"/>
    <xf numFmtId="44" fontId="36" fillId="0" borderId="0" xfId="0" applyNumberFormat="1" applyFont="1"/>
    <xf numFmtId="44" fontId="3" fillId="17" borderId="12" xfId="3" applyNumberFormat="1" applyFont="1" applyFill="1" applyBorder="1" applyAlignment="1" applyProtection="1">
      <alignment horizontal="center" vertical="center"/>
    </xf>
    <xf numFmtId="44" fontId="8" fillId="0" borderId="6" xfId="136" applyFont="1" applyFill="1" applyBorder="1" applyAlignment="1">
      <alignment horizontal="center" vertical="center" wrapText="1"/>
    </xf>
    <xf numFmtId="44" fontId="2" fillId="0" borderId="6" xfId="136" applyFont="1" applyBorder="1" applyAlignment="1">
      <alignment horizontal="center" vertical="center" wrapText="1"/>
    </xf>
    <xf numFmtId="44" fontId="3" fillId="6" borderId="6" xfId="136" applyFont="1" applyFill="1" applyBorder="1" applyAlignment="1">
      <alignment horizontal="center" vertical="top" wrapText="1"/>
    </xf>
    <xf numFmtId="44" fontId="8" fillId="0" borderId="6" xfId="136" applyFont="1" applyBorder="1" applyAlignment="1">
      <alignment horizontal="center" vertical="center" wrapText="1"/>
    </xf>
    <xf numFmtId="44" fontId="3" fillId="6" borderId="6" xfId="134" applyFont="1" applyFill="1" applyBorder="1" applyAlignment="1">
      <alignment horizontal="center" vertical="top" wrapText="1"/>
    </xf>
    <xf numFmtId="44" fontId="8" fillId="0" borderId="6" xfId="134" applyFont="1" applyBorder="1" applyAlignment="1">
      <alignment horizontal="center" vertical="center" wrapText="1"/>
    </xf>
    <xf numFmtId="44" fontId="8" fillId="17" borderId="6" xfId="136" applyFont="1" applyFill="1" applyBorder="1" applyAlignment="1">
      <alignment horizontal="center" vertical="center" wrapText="1"/>
    </xf>
    <xf numFmtId="44" fontId="3" fillId="12" borderId="6" xfId="136" applyFont="1" applyFill="1" applyBorder="1" applyAlignment="1">
      <alignment horizontal="center" vertical="center" wrapText="1"/>
    </xf>
    <xf numFmtId="44" fontId="3" fillId="0" borderId="6" xfId="136" applyFont="1" applyFill="1" applyBorder="1" applyAlignment="1">
      <alignment horizontal="center" vertical="center" wrapText="1"/>
    </xf>
    <xf numFmtId="44" fontId="3" fillId="0" borderId="29" xfId="136" applyFont="1" applyFill="1" applyBorder="1" applyAlignment="1">
      <alignment horizontal="center" vertical="center" wrapText="1"/>
    </xf>
    <xf numFmtId="44" fontId="33" fillId="10" borderId="44" xfId="136" applyFont="1" applyFill="1" applyBorder="1" applyAlignment="1">
      <alignment horizontal="center" vertical="center" wrapText="1"/>
    </xf>
    <xf numFmtId="44" fontId="2" fillId="0" borderId="0" xfId="102" applyNumberFormat="1" applyFont="1"/>
    <xf numFmtId="10" fontId="2" fillId="0" borderId="0" xfId="1" applyNumberFormat="1" applyFont="1"/>
    <xf numFmtId="169" fontId="38" fillId="0" borderId="6" xfId="15" applyFont="1" applyBorder="1" applyAlignment="1">
      <alignment horizontal="center" vertical="center"/>
    </xf>
    <xf numFmtId="169" fontId="36" fillId="0" borderId="0" xfId="0" applyNumberFormat="1" applyFont="1"/>
    <xf numFmtId="44" fontId="36" fillId="0" borderId="0" xfId="1" applyNumberFormat="1" applyFont="1"/>
    <xf numFmtId="0" fontId="3" fillId="0" borderId="6" xfId="2" applyFont="1" applyBorder="1" applyAlignment="1">
      <alignment horizontal="center" vertical="center" wrapText="1"/>
    </xf>
    <xf numFmtId="10" fontId="3" fillId="0" borderId="77" xfId="1" applyNumberFormat="1" applyFont="1" applyFill="1" applyBorder="1" applyAlignment="1" applyProtection="1">
      <alignment horizontal="center" vertical="center" wrapText="1"/>
    </xf>
    <xf numFmtId="186" fontId="3" fillId="0" borderId="6" xfId="137" applyNumberFormat="1" applyFont="1" applyFill="1" applyBorder="1" applyAlignment="1">
      <alignment horizontal="center" vertical="top" wrapText="1"/>
    </xf>
    <xf numFmtId="184" fontId="8" fillId="0" borderId="6" xfId="136" applyNumberFormat="1" applyFont="1" applyFill="1" applyBorder="1" applyAlignment="1">
      <alignment horizontal="center" vertical="center" wrapText="1"/>
    </xf>
    <xf numFmtId="4" fontId="3" fillId="0" borderId="6" xfId="110" applyNumberFormat="1" applyFont="1" applyBorder="1" applyAlignment="1">
      <alignment horizontal="center" vertical="top" wrapText="1"/>
    </xf>
    <xf numFmtId="10" fontId="3" fillId="0" borderId="6" xfId="137" applyNumberFormat="1" applyFont="1" applyFill="1" applyBorder="1" applyAlignment="1">
      <alignment horizontal="center" vertical="top" wrapText="1"/>
    </xf>
    <xf numFmtId="3" fontId="3" fillId="11" borderId="6" xfId="110" applyNumberFormat="1" applyFont="1" applyFill="1" applyBorder="1" applyAlignment="1">
      <alignment horizontal="center" vertical="top" wrapText="1"/>
    </xf>
    <xf numFmtId="185" fontId="3" fillId="11" borderId="6" xfId="136" applyNumberFormat="1" applyFont="1" applyFill="1" applyBorder="1" applyAlignment="1">
      <alignment horizontal="center" vertical="top" wrapText="1"/>
    </xf>
    <xf numFmtId="0" fontId="3" fillId="11" borderId="6" xfId="110" applyFont="1" applyFill="1" applyBorder="1" applyAlignment="1">
      <alignment horizontal="center" vertical="top" wrapText="1"/>
    </xf>
    <xf numFmtId="0" fontId="3" fillId="11" borderId="55" xfId="110" applyFont="1" applyFill="1" applyBorder="1" applyAlignment="1">
      <alignment horizontal="center" vertical="center" wrapText="1"/>
    </xf>
    <xf numFmtId="0" fontId="3" fillId="11" borderId="6" xfId="2" applyFont="1" applyFill="1" applyBorder="1" applyAlignment="1">
      <alignment horizontal="justify" vertical="center" wrapText="1"/>
    </xf>
    <xf numFmtId="0" fontId="3" fillId="0" borderId="2" xfId="2" applyFont="1" applyBorder="1" applyAlignment="1">
      <alignment horizontal="justify" vertical="center" wrapText="1"/>
    </xf>
    <xf numFmtId="0" fontId="3" fillId="0" borderId="75" xfId="2" applyFont="1" applyBorder="1" applyAlignment="1">
      <alignment horizontal="center" vertical="center" wrapText="1"/>
    </xf>
    <xf numFmtId="188" fontId="3" fillId="0" borderId="75" xfId="133" applyNumberFormat="1" applyFont="1" applyFill="1" applyBorder="1" applyAlignment="1">
      <alignment horizontal="center" vertical="center" wrapText="1"/>
    </xf>
    <xf numFmtId="164" fontId="3" fillId="0" borderId="21" xfId="3" applyFont="1" applyFill="1" applyBorder="1" applyAlignment="1" applyProtection="1">
      <alignment horizontal="center" vertical="center" wrapText="1"/>
    </xf>
    <xf numFmtId="0" fontId="3" fillId="0" borderId="5" xfId="2" applyFont="1" applyBorder="1" applyAlignment="1">
      <alignment horizontal="justify" vertical="center" wrapText="1"/>
    </xf>
    <xf numFmtId="0" fontId="3" fillId="0" borderId="77" xfId="2" applyFont="1" applyBorder="1" applyAlignment="1">
      <alignment horizontal="center" vertical="center" wrapText="1"/>
    </xf>
    <xf numFmtId="188" fontId="3" fillId="0" borderId="77" xfId="133" applyNumberFormat="1" applyFont="1" applyFill="1" applyBorder="1" applyAlignment="1">
      <alignment horizontal="center" vertical="center" wrapText="1"/>
    </xf>
    <xf numFmtId="0" fontId="3" fillId="0" borderId="70" xfId="2" applyFont="1" applyBorder="1" applyAlignment="1">
      <alignment horizontal="justify" vertical="center" wrapText="1"/>
    </xf>
    <xf numFmtId="164" fontId="8" fillId="0" borderId="6" xfId="4" quotePrefix="1" applyNumberFormat="1" applyFont="1" applyFill="1" applyBorder="1" applyAlignment="1">
      <alignment horizontal="center" vertical="center"/>
    </xf>
    <xf numFmtId="10" fontId="3" fillId="0" borderId="6" xfId="1" applyNumberFormat="1" applyFont="1" applyFill="1" applyBorder="1" applyAlignment="1" applyProtection="1">
      <alignment horizontal="center" vertical="center" wrapText="1"/>
    </xf>
    <xf numFmtId="188" fontId="3" fillId="0" borderId="6" xfId="133" applyNumberFormat="1" applyFont="1" applyFill="1" applyBorder="1" applyAlignment="1">
      <alignment horizontal="center" vertical="center" wrapText="1"/>
    </xf>
    <xf numFmtId="0" fontId="3" fillId="0" borderId="6" xfId="2" applyFont="1" applyBorder="1" applyAlignment="1">
      <alignment horizontal="justify" vertical="center" wrapText="1"/>
    </xf>
    <xf numFmtId="0" fontId="3" fillId="0" borderId="55" xfId="110" applyFont="1" applyBorder="1" applyAlignment="1">
      <alignment horizontal="left" vertical="center" wrapText="1"/>
    </xf>
    <xf numFmtId="0" fontId="3" fillId="0" borderId="77" xfId="110" applyFont="1" applyBorder="1" applyAlignment="1">
      <alignment horizontal="left" vertical="center" wrapText="1"/>
    </xf>
    <xf numFmtId="0" fontId="3" fillId="0" borderId="94" xfId="110" applyFont="1" applyBorder="1" applyAlignment="1">
      <alignment horizontal="left" vertical="center" wrapText="1"/>
    </xf>
    <xf numFmtId="0" fontId="2" fillId="0" borderId="0" xfId="2" applyFont="1" applyAlignment="1">
      <alignment horizontal="center" vertical="center" wrapText="1"/>
    </xf>
    <xf numFmtId="0" fontId="2" fillId="0" borderId="0" xfId="2" applyFont="1" applyAlignment="1">
      <alignment horizontal="justify" vertical="center" wrapText="1"/>
    </xf>
    <xf numFmtId="188" fontId="2" fillId="0" borderId="0" xfId="133" applyNumberFormat="1" applyFont="1" applyFill="1" applyAlignment="1">
      <alignment horizontal="center" vertical="center" wrapText="1"/>
    </xf>
    <xf numFmtId="164" fontId="2" fillId="0" borderId="0" xfId="2" applyNumberFormat="1" applyFont="1" applyAlignment="1">
      <alignment horizontal="center" vertical="center" wrapText="1"/>
    </xf>
    <xf numFmtId="10" fontId="2" fillId="0" borderId="0" xfId="1" applyNumberFormat="1" applyFont="1" applyFill="1" applyAlignment="1">
      <alignment horizontal="center" vertical="center"/>
    </xf>
    <xf numFmtId="164" fontId="2" fillId="0" borderId="0" xfId="2" applyNumberFormat="1" applyFont="1" applyAlignment="1">
      <alignment horizontal="center" vertical="center"/>
    </xf>
    <xf numFmtId="0" fontId="5" fillId="11" borderId="6" xfId="2" applyFont="1" applyFill="1" applyBorder="1" applyAlignment="1">
      <alignment horizontal="center" vertical="center" wrapText="1"/>
    </xf>
    <xf numFmtId="0" fontId="5" fillId="11" borderId="6" xfId="2" applyFont="1" applyFill="1" applyBorder="1" applyAlignment="1">
      <alignment horizontal="justify" vertical="center" wrapText="1"/>
    </xf>
    <xf numFmtId="0" fontId="5" fillId="11" borderId="6" xfId="133" applyNumberFormat="1" applyFont="1" applyFill="1" applyBorder="1" applyAlignment="1">
      <alignment horizontal="center" vertical="center" wrapText="1"/>
    </xf>
    <xf numFmtId="164" fontId="5" fillId="11" borderId="6" xfId="2" applyNumberFormat="1" applyFont="1" applyFill="1" applyBorder="1" applyAlignment="1">
      <alignment horizontal="center" vertical="center" wrapText="1"/>
    </xf>
    <xf numFmtId="0" fontId="5" fillId="8" borderId="21" xfId="2" applyFont="1" applyFill="1" applyBorder="1" applyAlignment="1">
      <alignment horizontal="center" vertical="center" wrapText="1"/>
    </xf>
    <xf numFmtId="0" fontId="5" fillId="6" borderId="76" xfId="2" applyFont="1" applyFill="1" applyBorder="1" applyAlignment="1">
      <alignment horizontal="center" vertical="center" wrapText="1"/>
    </xf>
    <xf numFmtId="186" fontId="8" fillId="3" borderId="32" xfId="1" quotePrefix="1" applyNumberFormat="1" applyFont="1" applyFill="1" applyBorder="1" applyAlignment="1">
      <alignment horizontal="center" vertical="center"/>
    </xf>
    <xf numFmtId="186" fontId="8" fillId="3" borderId="35" xfId="1" quotePrefix="1" applyNumberFormat="1" applyFont="1" applyFill="1" applyBorder="1" applyAlignment="1">
      <alignment horizontal="center" vertical="center"/>
    </xf>
    <xf numFmtId="0" fontId="3" fillId="6" borderId="6" xfId="2" applyFont="1" applyFill="1" applyBorder="1" applyAlignment="1">
      <alignment horizontal="center" vertical="center" wrapText="1"/>
    </xf>
    <xf numFmtId="0" fontId="3" fillId="6" borderId="6" xfId="2" applyFont="1" applyFill="1" applyBorder="1" applyAlignment="1">
      <alignment horizontal="justify" vertical="center" wrapText="1"/>
    </xf>
    <xf numFmtId="0" fontId="7" fillId="9" borderId="6" xfId="2" quotePrefix="1" applyFont="1" applyFill="1" applyBorder="1" applyAlignment="1">
      <alignment horizontal="center" vertical="center" wrapText="1"/>
    </xf>
    <xf numFmtId="0" fontId="3" fillId="0" borderId="6" xfId="2" applyFont="1" applyBorder="1" applyAlignment="1">
      <alignment horizontal="center" vertical="center"/>
    </xf>
    <xf numFmtId="10" fontId="6" fillId="8" borderId="48" xfId="1" applyNumberFormat="1" applyFont="1" applyFill="1" applyBorder="1" applyAlignment="1" applyProtection="1">
      <alignment horizontal="center" vertical="center"/>
    </xf>
    <xf numFmtId="164" fontId="2" fillId="0" borderId="6" xfId="3" applyFont="1" applyFill="1" applyBorder="1" applyAlignment="1" applyProtection="1">
      <alignment horizontal="center" vertical="center" wrapText="1"/>
    </xf>
    <xf numFmtId="164" fontId="2" fillId="0" borderId="15" xfId="3" applyFont="1" applyFill="1" applyBorder="1" applyAlignment="1" applyProtection="1">
      <alignment horizontal="center" vertical="center" wrapText="1"/>
    </xf>
    <xf numFmtId="164" fontId="6" fillId="10" borderId="37" xfId="3" applyFont="1" applyFill="1" applyBorder="1" applyAlignment="1" applyProtection="1">
      <alignment horizontal="center" vertical="center"/>
    </xf>
    <xf numFmtId="164" fontId="5" fillId="8" borderId="134" xfId="2" applyNumberFormat="1" applyFont="1" applyFill="1" applyBorder="1" applyAlignment="1">
      <alignment horizontal="center" vertical="center" wrapText="1"/>
    </xf>
    <xf numFmtId="164" fontId="6" fillId="0" borderId="0" xfId="3" applyFont="1" applyFill="1" applyBorder="1" applyAlignment="1" applyProtection="1">
      <alignment horizontal="center" vertical="center"/>
    </xf>
    <xf numFmtId="164" fontId="5" fillId="8" borderId="23" xfId="2" applyNumberFormat="1" applyFont="1" applyFill="1" applyBorder="1" applyAlignment="1">
      <alignment horizontal="center" vertical="center" wrapText="1"/>
    </xf>
    <xf numFmtId="164" fontId="6" fillId="3" borderId="20" xfId="3" applyFont="1" applyFill="1" applyBorder="1" applyAlignment="1" applyProtection="1">
      <alignment horizontal="center" vertical="center"/>
    </xf>
    <xf numFmtId="164" fontId="2" fillId="0" borderId="54" xfId="3" applyFont="1" applyFill="1" applyBorder="1" applyAlignment="1" applyProtection="1">
      <alignment horizontal="center" vertical="center" wrapText="1"/>
    </xf>
    <xf numFmtId="164" fontId="2" fillId="0" borderId="57" xfId="3" applyFont="1" applyFill="1" applyBorder="1" applyAlignment="1" applyProtection="1">
      <alignment horizontal="center" vertical="center" wrapText="1"/>
    </xf>
    <xf numFmtId="164" fontId="2" fillId="3" borderId="12" xfId="3" applyFont="1" applyFill="1" applyBorder="1" applyAlignment="1" applyProtection="1">
      <alignment horizontal="center" vertical="center" wrapText="1"/>
    </xf>
    <xf numFmtId="164" fontId="2" fillId="3" borderId="43" xfId="3" applyFont="1" applyFill="1" applyBorder="1" applyAlignment="1" applyProtection="1">
      <alignment horizontal="center" vertical="center" wrapText="1"/>
    </xf>
    <xf numFmtId="164" fontId="8" fillId="3" borderId="26" xfId="2" quotePrefix="1" applyNumberFormat="1" applyFont="1" applyFill="1" applyBorder="1" applyAlignment="1">
      <alignment horizontal="center" vertical="center"/>
    </xf>
    <xf numFmtId="164" fontId="3" fillId="6" borderId="137" xfId="2" applyNumberFormat="1" applyFont="1" applyFill="1" applyBorder="1" applyAlignment="1">
      <alignment horizontal="center" vertical="center" wrapText="1"/>
    </xf>
    <xf numFmtId="164" fontId="8" fillId="3" borderId="12" xfId="2" quotePrefix="1" applyNumberFormat="1" applyFont="1" applyFill="1" applyBorder="1" applyAlignment="1">
      <alignment horizontal="center" vertical="center"/>
    </xf>
    <xf numFmtId="164" fontId="8" fillId="3" borderId="6" xfId="2" quotePrefix="1" applyNumberFormat="1" applyFont="1" applyFill="1" applyBorder="1" applyAlignment="1">
      <alignment horizontal="center" vertical="center"/>
    </xf>
    <xf numFmtId="164" fontId="8" fillId="3" borderId="15" xfId="2" quotePrefix="1" applyNumberFormat="1" applyFont="1" applyFill="1" applyBorder="1" applyAlignment="1">
      <alignment horizontal="center" vertical="center"/>
    </xf>
    <xf numFmtId="164" fontId="2" fillId="0" borderId="50" xfId="3" applyFont="1" applyFill="1" applyBorder="1" applyAlignment="1" applyProtection="1">
      <alignment horizontal="center" vertical="center" wrapText="1"/>
    </xf>
    <xf numFmtId="164" fontId="2" fillId="3" borderId="6" xfId="2" quotePrefix="1" applyNumberFormat="1" applyFont="1" applyFill="1" applyBorder="1" applyAlignment="1">
      <alignment horizontal="center" vertical="center"/>
    </xf>
    <xf numFmtId="164" fontId="2" fillId="0" borderId="15" xfId="2" quotePrefix="1" applyNumberFormat="1" applyFont="1" applyBorder="1" applyAlignment="1">
      <alignment horizontal="center" vertical="center"/>
    </xf>
    <xf numFmtId="164" fontId="6" fillId="3" borderId="53" xfId="3" applyFont="1" applyFill="1" applyBorder="1" applyAlignment="1" applyProtection="1">
      <alignment horizontal="center" vertical="center"/>
    </xf>
    <xf numFmtId="164" fontId="2" fillId="0" borderId="51" xfId="3" applyFont="1" applyFill="1" applyBorder="1" applyAlignment="1" applyProtection="1">
      <alignment horizontal="center" vertical="center" wrapText="1"/>
    </xf>
    <xf numFmtId="164" fontId="6" fillId="10" borderId="36" xfId="3" applyFont="1" applyFill="1" applyBorder="1" applyAlignment="1" applyProtection="1">
      <alignment horizontal="center" vertical="center"/>
    </xf>
    <xf numFmtId="164" fontId="3" fillId="0" borderId="4" xfId="3" applyFont="1" applyFill="1" applyBorder="1" applyAlignment="1" applyProtection="1">
      <alignment horizontal="center" vertical="center"/>
    </xf>
    <xf numFmtId="164" fontId="3" fillId="0" borderId="94" xfId="3" applyFont="1" applyFill="1" applyBorder="1" applyAlignment="1" applyProtection="1">
      <alignment horizontal="center" vertical="center"/>
    </xf>
    <xf numFmtId="164" fontId="3" fillId="0" borderId="7" xfId="3" applyFont="1" applyFill="1" applyBorder="1" applyAlignment="1" applyProtection="1">
      <alignment horizontal="center" vertical="center"/>
    </xf>
    <xf numFmtId="164" fontId="33" fillId="11" borderId="16" xfId="3" applyFont="1" applyFill="1" applyBorder="1" applyAlignment="1" applyProtection="1">
      <alignment horizontal="center" vertical="center"/>
    </xf>
    <xf numFmtId="164" fontId="3" fillId="6" borderId="6" xfId="2" applyNumberFormat="1" applyFont="1" applyFill="1" applyBorder="1" applyAlignment="1">
      <alignment horizontal="center" vertical="center" wrapText="1"/>
    </xf>
    <xf numFmtId="164" fontId="6" fillId="0" borderId="6" xfId="3" applyFont="1" applyFill="1" applyBorder="1" applyAlignment="1" applyProtection="1">
      <alignment horizontal="center" vertical="center"/>
    </xf>
    <xf numFmtId="164" fontId="3" fillId="0" borderId="6" xfId="3" applyFont="1" applyFill="1" applyBorder="1" applyAlignment="1" applyProtection="1">
      <alignment horizontal="center" vertical="center"/>
    </xf>
    <xf numFmtId="164" fontId="3" fillId="11" borderId="6" xfId="110" applyNumberFormat="1" applyFont="1" applyFill="1" applyBorder="1" applyAlignment="1">
      <alignment horizontal="center" vertical="top" wrapText="1"/>
    </xf>
    <xf numFmtId="164" fontId="3" fillId="0" borderId="6" xfId="134" applyNumberFormat="1" applyFont="1" applyFill="1" applyBorder="1" applyAlignment="1">
      <alignment horizontal="center" vertical="top" wrapText="1"/>
    </xf>
    <xf numFmtId="164" fontId="3" fillId="0" borderId="29" xfId="134" applyNumberFormat="1" applyFont="1" applyFill="1" applyBorder="1" applyAlignment="1">
      <alignment horizontal="center" vertical="top" wrapText="1"/>
    </xf>
    <xf numFmtId="164" fontId="33" fillId="0" borderId="6" xfId="136" applyNumberFormat="1" applyFont="1" applyFill="1" applyBorder="1" applyAlignment="1">
      <alignment horizontal="center" vertical="center" wrapText="1"/>
    </xf>
    <xf numFmtId="164" fontId="47" fillId="0" borderId="0" xfId="2" applyNumberFormat="1" applyFont="1" applyAlignment="1">
      <alignment horizontal="center" vertical="center"/>
    </xf>
    <xf numFmtId="164" fontId="33" fillId="11" borderId="6" xfId="136" applyNumberFormat="1" applyFont="1" applyFill="1" applyBorder="1" applyAlignment="1">
      <alignment horizontal="center" vertical="center" wrapText="1"/>
    </xf>
    <xf numFmtId="164" fontId="33" fillId="11" borderId="6" xfId="3" applyFont="1" applyFill="1" applyBorder="1" applyAlignment="1" applyProtection="1">
      <alignment horizontal="center" vertical="center"/>
    </xf>
    <xf numFmtId="0" fontId="3" fillId="5" borderId="95" xfId="110" applyFont="1" applyFill="1" applyBorder="1" applyAlignment="1">
      <alignment horizontal="center" vertical="center" wrapText="1"/>
    </xf>
    <xf numFmtId="0" fontId="3" fillId="5" borderId="96" xfId="110" applyFont="1" applyFill="1" applyBorder="1" applyAlignment="1">
      <alignment horizontal="center" vertical="center" wrapText="1"/>
    </xf>
    <xf numFmtId="0" fontId="3" fillId="5" borderId="97" xfId="110" applyFont="1" applyFill="1" applyBorder="1" applyAlignment="1">
      <alignment horizontal="center" vertical="center" wrapText="1"/>
    </xf>
    <xf numFmtId="0" fontId="3" fillId="10" borderId="55" xfId="110" applyFont="1" applyFill="1" applyBorder="1" applyAlignment="1">
      <alignment horizontal="left" vertical="center" wrapText="1"/>
    </xf>
    <xf numFmtId="0" fontId="3" fillId="10" borderId="77" xfId="110" applyFont="1" applyFill="1" applyBorder="1" applyAlignment="1">
      <alignment horizontal="left" vertical="center" wrapText="1"/>
    </xf>
    <xf numFmtId="0" fontId="3" fillId="10" borderId="94" xfId="110" applyFont="1" applyFill="1" applyBorder="1" applyAlignment="1">
      <alignment horizontal="left" vertical="center" wrapText="1"/>
    </xf>
    <xf numFmtId="0" fontId="38" fillId="0" borderId="6" xfId="0" applyFont="1" applyBorder="1" applyAlignment="1">
      <alignment horizontal="left"/>
    </xf>
    <xf numFmtId="0" fontId="36" fillId="0" borderId="55" xfId="0" applyFont="1" applyBorder="1" applyAlignment="1">
      <alignment horizontal="left"/>
    </xf>
    <xf numFmtId="0" fontId="36" fillId="0" borderId="32" xfId="0" applyFont="1" applyBorder="1" applyAlignment="1">
      <alignment horizontal="left"/>
    </xf>
    <xf numFmtId="0" fontId="36" fillId="0" borderId="6" xfId="0" applyFont="1" applyBorder="1" applyAlignment="1">
      <alignment horizontal="left" vertical="center" wrapText="1"/>
    </xf>
    <xf numFmtId="0" fontId="36" fillId="0" borderId="6" xfId="0" applyFont="1" applyBorder="1" applyAlignment="1">
      <alignment horizontal="justify" vertical="center" wrapText="1"/>
    </xf>
    <xf numFmtId="0" fontId="38" fillId="0" borderId="6" xfId="0" applyFont="1" applyBorder="1" applyAlignment="1">
      <alignment horizontal="center"/>
    </xf>
    <xf numFmtId="0" fontId="36" fillId="0" borderId="6" xfId="0" applyFont="1" applyBorder="1" applyAlignment="1">
      <alignment horizontal="left"/>
    </xf>
    <xf numFmtId="0" fontId="38" fillId="0" borderId="6" xfId="0" applyFont="1" applyBorder="1" applyAlignment="1">
      <alignment horizontal="center" vertical="center"/>
    </xf>
    <xf numFmtId="0" fontId="38" fillId="0" borderId="55" xfId="0" applyFont="1" applyBorder="1" applyAlignment="1">
      <alignment horizontal="left"/>
    </xf>
    <xf numFmtId="0" fontId="38" fillId="0" borderId="77" xfId="0" applyFont="1" applyBorder="1" applyAlignment="1">
      <alignment horizontal="left"/>
    </xf>
    <xf numFmtId="0" fontId="38" fillId="0" borderId="32" xfId="0" applyFont="1" applyBorder="1" applyAlignment="1">
      <alignment horizontal="left"/>
    </xf>
    <xf numFmtId="0" fontId="35" fillId="0" borderId="6" xfId="0" applyFont="1" applyBorder="1" applyAlignment="1">
      <alignment horizontal="center"/>
    </xf>
    <xf numFmtId="0" fontId="36" fillId="0" borderId="55" xfId="0" applyFont="1" applyBorder="1" applyAlignment="1">
      <alignment horizontal="justify" vertical="center" wrapText="1"/>
    </xf>
    <xf numFmtId="0" fontId="36" fillId="0" borderId="77" xfId="0" applyFont="1" applyBorder="1" applyAlignment="1">
      <alignment horizontal="justify" vertical="center" wrapText="1"/>
    </xf>
    <xf numFmtId="0" fontId="36" fillId="0" borderId="32" xfId="0" applyFont="1" applyBorder="1" applyAlignment="1">
      <alignment horizontal="justify" vertical="center" wrapText="1"/>
    </xf>
    <xf numFmtId="0" fontId="36" fillId="0" borderId="6" xfId="0" applyFont="1" applyBorder="1" applyAlignment="1">
      <alignment horizontal="center"/>
    </xf>
    <xf numFmtId="0" fontId="38" fillId="0" borderId="55" xfId="0" applyFont="1" applyBorder="1" applyAlignment="1">
      <alignment horizontal="center" vertical="center"/>
    </xf>
    <xf numFmtId="0" fontId="38" fillId="0" borderId="77" xfId="0" applyFont="1" applyBorder="1" applyAlignment="1">
      <alignment horizontal="center" vertical="center"/>
    </xf>
    <xf numFmtId="0" fontId="38" fillId="0" borderId="32" xfId="0" applyFont="1" applyBorder="1" applyAlignment="1">
      <alignment horizontal="center" vertical="center"/>
    </xf>
    <xf numFmtId="0" fontId="7" fillId="0" borderId="72" xfId="2" applyFont="1" applyBorder="1" applyAlignment="1">
      <alignment horizontal="left" vertical="center" wrapText="1"/>
    </xf>
    <xf numFmtId="0" fontId="7" fillId="0" borderId="77" xfId="2" applyFont="1" applyBorder="1" applyAlignment="1">
      <alignment horizontal="left" vertical="center" wrapText="1"/>
    </xf>
    <xf numFmtId="0" fontId="7" fillId="0" borderId="94" xfId="2" applyFont="1" applyBorder="1" applyAlignment="1">
      <alignment horizontal="left" vertical="center" wrapText="1"/>
    </xf>
    <xf numFmtId="0" fontId="2" fillId="3" borderId="0" xfId="2" applyFont="1" applyFill="1" applyAlignment="1">
      <alignment horizontal="left" vertical="center"/>
    </xf>
    <xf numFmtId="0" fontId="4" fillId="5" borderId="17" xfId="2" quotePrefix="1" applyFont="1" applyFill="1" applyBorder="1" applyAlignment="1">
      <alignment horizontal="center" vertical="center" wrapText="1"/>
    </xf>
    <xf numFmtId="0" fontId="4" fillId="5" borderId="18" xfId="2" quotePrefix="1" applyFont="1" applyFill="1" applyBorder="1" applyAlignment="1">
      <alignment horizontal="center" vertical="center" wrapText="1"/>
    </xf>
    <xf numFmtId="0" fontId="4" fillId="5" borderId="19" xfId="2" quotePrefix="1" applyFont="1" applyFill="1" applyBorder="1" applyAlignment="1">
      <alignment horizontal="center" vertical="center" wrapText="1"/>
    </xf>
    <xf numFmtId="0" fontId="3" fillId="0" borderId="5" xfId="2" applyFont="1" applyBorder="1" applyAlignment="1">
      <alignment horizontal="center" vertical="center" wrapText="1"/>
    </xf>
    <xf numFmtId="0" fontId="3" fillId="0" borderId="6" xfId="2" applyFont="1" applyBorder="1" applyAlignment="1">
      <alignment horizontal="center" vertical="center" wrapText="1"/>
    </xf>
    <xf numFmtId="0" fontId="2" fillId="0" borderId="6" xfId="2" applyFont="1" applyBorder="1" applyAlignment="1">
      <alignment horizontal="center" vertical="center" wrapText="1"/>
    </xf>
    <xf numFmtId="0" fontId="2" fillId="0" borderId="7" xfId="2" applyFont="1" applyBorder="1" applyAlignment="1">
      <alignment horizontal="center" vertical="center" wrapText="1"/>
    </xf>
    <xf numFmtId="0" fontId="3" fillId="0" borderId="14" xfId="2" applyFont="1" applyBorder="1" applyAlignment="1">
      <alignment horizontal="center" vertical="center" wrapText="1"/>
    </xf>
    <xf numFmtId="0" fontId="3" fillId="0" borderId="15" xfId="2" applyFont="1" applyBorder="1" applyAlignment="1">
      <alignment horizontal="center" vertical="center" wrapText="1"/>
    </xf>
    <xf numFmtId="0" fontId="2" fillId="0" borderId="15" xfId="2" applyFont="1" applyBorder="1" applyAlignment="1">
      <alignment horizontal="center" vertical="center" wrapText="1"/>
    </xf>
    <xf numFmtId="0" fontId="2" fillId="0" borderId="16" xfId="2" applyFont="1" applyBorder="1" applyAlignment="1">
      <alignment horizontal="center" vertical="center" wrapText="1"/>
    </xf>
    <xf numFmtId="0" fontId="3" fillId="4" borderId="5" xfId="2" applyFont="1" applyFill="1" applyBorder="1" applyAlignment="1">
      <alignment horizontal="center" vertical="center" wrapText="1"/>
    </xf>
    <xf numFmtId="0" fontId="3" fillId="4" borderId="6" xfId="2" applyFont="1" applyFill="1" applyBorder="1" applyAlignment="1">
      <alignment horizontal="center" vertical="center" wrapText="1"/>
    </xf>
    <xf numFmtId="0" fontId="2" fillId="4" borderId="6" xfId="2" applyFont="1" applyFill="1" applyBorder="1" applyAlignment="1">
      <alignment horizontal="center" vertical="center" wrapText="1"/>
    </xf>
    <xf numFmtId="0" fontId="2" fillId="4" borderId="7" xfId="2" applyFont="1" applyFill="1" applyBorder="1" applyAlignment="1">
      <alignment horizontal="center" vertical="center" wrapText="1"/>
    </xf>
    <xf numFmtId="0" fontId="2" fillId="4" borderId="2" xfId="2" applyFont="1" applyFill="1" applyBorder="1" applyAlignment="1">
      <alignment horizontal="center" vertical="center" wrapText="1"/>
    </xf>
    <xf numFmtId="0" fontId="2" fillId="4" borderId="3" xfId="2" applyFont="1" applyFill="1" applyBorder="1" applyAlignment="1">
      <alignment horizontal="center" vertical="center" wrapText="1"/>
    </xf>
    <xf numFmtId="0" fontId="2" fillId="4" borderId="4" xfId="2" applyFont="1" applyFill="1" applyBorder="1" applyAlignment="1">
      <alignment horizontal="center" vertical="center" wrapText="1"/>
    </xf>
    <xf numFmtId="0" fontId="2" fillId="4" borderId="5" xfId="2" applyFont="1" applyFill="1" applyBorder="1" applyAlignment="1">
      <alignment horizontal="center" vertical="center" wrapText="1"/>
    </xf>
    <xf numFmtId="0" fontId="2" fillId="4" borderId="8" xfId="2" applyFont="1" applyFill="1" applyBorder="1" applyAlignment="1">
      <alignment horizontal="center" vertical="center" wrapText="1"/>
    </xf>
    <xf numFmtId="0" fontId="2" fillId="4" borderId="9" xfId="2" applyFont="1" applyFill="1" applyBorder="1" applyAlignment="1">
      <alignment horizontal="center" vertical="center" wrapText="1"/>
    </xf>
    <xf numFmtId="0" fontId="2" fillId="4" borderId="10" xfId="2" applyFont="1" applyFill="1" applyBorder="1" applyAlignment="1">
      <alignment horizontal="center" vertical="center" wrapText="1"/>
    </xf>
    <xf numFmtId="0" fontId="3" fillId="0" borderId="11" xfId="2" applyFont="1" applyBorder="1" applyAlignment="1">
      <alignment horizontal="center" vertical="center" wrapText="1"/>
    </xf>
    <xf numFmtId="0" fontId="3" fillId="0" borderId="12" xfId="2" applyFont="1" applyBorder="1" applyAlignment="1">
      <alignment horizontal="center" vertical="center" wrapText="1"/>
    </xf>
    <xf numFmtId="0" fontId="2" fillId="0" borderId="12" xfId="2" applyFont="1" applyBorder="1" applyAlignment="1">
      <alignment horizontal="center" vertical="center" wrapText="1"/>
    </xf>
    <xf numFmtId="0" fontId="2" fillId="0" borderId="13" xfId="2" applyFont="1" applyBorder="1" applyAlignment="1">
      <alignment horizontal="center" vertical="center" wrapText="1"/>
    </xf>
    <xf numFmtId="0" fontId="36" fillId="0" borderId="32" xfId="0" applyFont="1" applyBorder="1" applyAlignment="1">
      <alignment horizontal="center"/>
    </xf>
    <xf numFmtId="0" fontId="40" fillId="14" borderId="55" xfId="58" applyFont="1" applyFill="1" applyBorder="1" applyAlignment="1">
      <alignment horizontal="left" vertical="center"/>
    </xf>
    <xf numFmtId="0" fontId="40" fillId="14" borderId="77" xfId="58" applyFont="1" applyFill="1" applyBorder="1" applyAlignment="1">
      <alignment horizontal="left" vertical="center"/>
    </xf>
    <xf numFmtId="0" fontId="40" fillId="14" borderId="32" xfId="58" applyFont="1" applyFill="1" applyBorder="1" applyAlignment="1">
      <alignment horizontal="left" vertical="center"/>
    </xf>
    <xf numFmtId="0" fontId="43" fillId="0" borderId="32" xfId="0" applyFont="1" applyBorder="1" applyAlignment="1">
      <alignment horizontal="left"/>
    </xf>
    <xf numFmtId="0" fontId="43" fillId="0" borderId="6" xfId="0" applyFont="1" applyBorder="1" applyAlignment="1">
      <alignment horizontal="left"/>
    </xf>
    <xf numFmtId="0" fontId="37" fillId="0" borderId="6" xfId="0" applyFont="1" applyBorder="1" applyAlignment="1">
      <alignment horizontal="center" vertical="center" wrapText="1"/>
    </xf>
    <xf numFmtId="0" fontId="36" fillId="14" borderId="55" xfId="0" applyFont="1" applyFill="1" applyBorder="1" applyAlignment="1">
      <alignment horizontal="left" vertical="center" wrapText="1"/>
    </xf>
    <xf numFmtId="0" fontId="36" fillId="14" borderId="77" xfId="0" applyFont="1" applyFill="1" applyBorder="1" applyAlignment="1">
      <alignment horizontal="left" vertical="center" wrapText="1"/>
    </xf>
    <xf numFmtId="0" fontId="36" fillId="14" borderId="55" xfId="0" applyFont="1" applyFill="1" applyBorder="1" applyAlignment="1">
      <alignment horizontal="left" vertical="center"/>
    </xf>
    <xf numFmtId="0" fontId="36" fillId="14" borderId="77" xfId="0" applyFont="1" applyFill="1" applyBorder="1" applyAlignment="1">
      <alignment horizontal="left" vertical="center"/>
    </xf>
    <xf numFmtId="0" fontId="7" fillId="0" borderId="55" xfId="2" applyFont="1" applyBorder="1" applyAlignment="1">
      <alignment horizontal="center" vertical="center" wrapText="1"/>
    </xf>
    <xf numFmtId="0" fontId="7" fillId="0" borderId="32" xfId="2" applyFont="1" applyBorder="1" applyAlignment="1">
      <alignment horizontal="center" vertical="center" wrapText="1"/>
    </xf>
    <xf numFmtId="0" fontId="5" fillId="7" borderId="95" xfId="2" applyFont="1" applyFill="1" applyBorder="1" applyAlignment="1">
      <alignment horizontal="center" vertical="center" wrapText="1"/>
    </xf>
    <xf numFmtId="0" fontId="5" fillId="7" borderId="96" xfId="2" applyFont="1" applyFill="1" applyBorder="1" applyAlignment="1">
      <alignment horizontal="center" vertical="center" wrapText="1"/>
    </xf>
    <xf numFmtId="0" fontId="5" fillId="7" borderId="97" xfId="2" applyFont="1" applyFill="1" applyBorder="1" applyAlignment="1">
      <alignment horizontal="center" vertical="center" wrapText="1"/>
    </xf>
    <xf numFmtId="0" fontId="3" fillId="6" borderId="85" xfId="2" applyFont="1" applyFill="1" applyBorder="1" applyAlignment="1">
      <alignment horizontal="center" vertical="center" wrapText="1"/>
    </xf>
    <xf numFmtId="0" fontId="3" fillId="6" borderId="64" xfId="2" applyFont="1" applyFill="1" applyBorder="1" applyAlignment="1">
      <alignment horizontal="center" vertical="center" wrapText="1"/>
    </xf>
    <xf numFmtId="0" fontId="3" fillId="6" borderId="46" xfId="2" applyFont="1" applyFill="1" applyBorder="1" applyAlignment="1">
      <alignment horizontal="center" vertical="center" wrapText="1"/>
    </xf>
    <xf numFmtId="0" fontId="5" fillId="7" borderId="89" xfId="2" applyFont="1" applyFill="1" applyBorder="1" applyAlignment="1">
      <alignment horizontal="center" vertical="center" wrapText="1"/>
    </xf>
    <xf numFmtId="0" fontId="5" fillId="7" borderId="91" xfId="2" applyFont="1" applyFill="1" applyBorder="1" applyAlignment="1">
      <alignment horizontal="center" vertical="center" wrapText="1"/>
    </xf>
    <xf numFmtId="0" fontId="5" fillId="7" borderId="92" xfId="2" applyFont="1" applyFill="1" applyBorder="1" applyAlignment="1">
      <alignment horizontal="center" vertical="center" wrapText="1"/>
    </xf>
    <xf numFmtId="0" fontId="4" fillId="6" borderId="85" xfId="2" quotePrefix="1" applyFont="1" applyFill="1" applyBorder="1" applyAlignment="1">
      <alignment horizontal="center" vertical="center"/>
    </xf>
    <xf numFmtId="0" fontId="4" fillId="6" borderId="64" xfId="2" quotePrefix="1" applyFont="1" applyFill="1" applyBorder="1" applyAlignment="1">
      <alignment horizontal="center" vertical="center"/>
    </xf>
    <xf numFmtId="0" fontId="4" fillId="6" borderId="46" xfId="2" quotePrefix="1" applyFont="1" applyFill="1" applyBorder="1" applyAlignment="1">
      <alignment horizontal="center" vertical="center"/>
    </xf>
    <xf numFmtId="0" fontId="5" fillId="7" borderId="112" xfId="2" applyFont="1" applyFill="1" applyBorder="1" applyAlignment="1">
      <alignment horizontal="center" vertical="center" wrapText="1"/>
    </xf>
    <xf numFmtId="0" fontId="4" fillId="6" borderId="72" xfId="2" quotePrefix="1" applyFont="1" applyFill="1" applyBorder="1" applyAlignment="1">
      <alignment horizontal="center" vertical="center"/>
    </xf>
    <xf numFmtId="0" fontId="4" fillId="6" borderId="77" xfId="2" quotePrefix="1" applyFont="1" applyFill="1" applyBorder="1" applyAlignment="1">
      <alignment horizontal="center" vertical="center"/>
    </xf>
    <xf numFmtId="0" fontId="4" fillId="6" borderId="94" xfId="2" quotePrefix="1" applyFont="1" applyFill="1" applyBorder="1" applyAlignment="1">
      <alignment horizontal="center" vertical="center"/>
    </xf>
    <xf numFmtId="183" fontId="7" fillId="0" borderId="45" xfId="2" applyNumberFormat="1" applyFont="1" applyBorder="1" applyAlignment="1">
      <alignment horizontal="center" vertical="center" wrapText="1"/>
    </xf>
    <xf numFmtId="183" fontId="7" fillId="0" borderId="30" xfId="2" applyNumberFormat="1" applyFont="1" applyBorder="1" applyAlignment="1">
      <alignment horizontal="center" vertical="center" wrapText="1"/>
    </xf>
    <xf numFmtId="183" fontId="7" fillId="0" borderId="13" xfId="2" applyNumberFormat="1" applyFont="1" applyBorder="1" applyAlignment="1">
      <alignment horizontal="center" vertical="center" wrapText="1"/>
    </xf>
    <xf numFmtId="0" fontId="7" fillId="0" borderId="84" xfId="2" applyFont="1" applyBorder="1" applyAlignment="1">
      <alignment horizontal="left" vertical="center" wrapText="1"/>
    </xf>
    <xf numFmtId="0" fontId="7" fillId="0" borderId="71" xfId="2" applyFont="1" applyBorder="1" applyAlignment="1">
      <alignment horizontal="left" vertical="center" wrapText="1"/>
    </xf>
    <xf numFmtId="0" fontId="7" fillId="0" borderId="85" xfId="2" applyFont="1" applyBorder="1" applyAlignment="1">
      <alignment horizontal="left" vertical="center" wrapText="1"/>
    </xf>
    <xf numFmtId="0" fontId="7" fillId="0" borderId="70" xfId="2" applyFont="1" applyBorder="1" applyAlignment="1">
      <alignment horizontal="left" vertical="center" wrapText="1"/>
    </xf>
    <xf numFmtId="0" fontId="7" fillId="0" borderId="83" xfId="2" applyFont="1" applyBorder="1" applyAlignment="1">
      <alignment horizontal="left" vertical="center" wrapText="1"/>
    </xf>
    <xf numFmtId="0" fontId="7" fillId="0" borderId="11" xfId="2" applyFont="1" applyBorder="1" applyAlignment="1">
      <alignment horizontal="left" vertical="center" wrapText="1"/>
    </xf>
    <xf numFmtId="0" fontId="4" fillId="6" borderId="86" xfId="2" quotePrefix="1" applyFont="1" applyFill="1" applyBorder="1" applyAlignment="1">
      <alignment horizontal="center" vertical="center"/>
    </xf>
    <xf numFmtId="0" fontId="4" fillId="6" borderId="87" xfId="2" quotePrefix="1" applyFont="1" applyFill="1" applyBorder="1" applyAlignment="1">
      <alignment horizontal="center" vertical="center"/>
    </xf>
    <xf numFmtId="0" fontId="4" fillId="6" borderId="93" xfId="2" quotePrefix="1" applyFont="1" applyFill="1" applyBorder="1" applyAlignment="1">
      <alignment horizontal="center" vertical="center"/>
    </xf>
    <xf numFmtId="0" fontId="2" fillId="9" borderId="27" xfId="2" quotePrefix="1" applyFont="1" applyFill="1" applyBorder="1" applyAlignment="1">
      <alignment horizontal="center" vertical="center" wrapText="1"/>
    </xf>
    <xf numFmtId="0" fontId="2" fillId="9" borderId="24" xfId="2" quotePrefix="1" applyFont="1" applyFill="1" applyBorder="1" applyAlignment="1">
      <alignment horizontal="center" vertical="center" wrapText="1"/>
    </xf>
    <xf numFmtId="0" fontId="2" fillId="9" borderId="41" xfId="2" quotePrefix="1" applyFont="1" applyFill="1" applyBorder="1" applyAlignment="1">
      <alignment horizontal="center" vertical="center" wrapText="1"/>
    </xf>
    <xf numFmtId="0" fontId="3" fillId="5" borderId="99" xfId="2" applyFont="1" applyFill="1" applyBorder="1" applyAlignment="1">
      <alignment horizontal="center" vertical="center" wrapText="1"/>
    </xf>
    <xf numFmtId="0" fontId="3" fillId="5" borderId="100" xfId="2" applyFont="1" applyFill="1" applyBorder="1" applyAlignment="1">
      <alignment horizontal="center" vertical="center" wrapText="1"/>
    </xf>
    <xf numFmtId="183" fontId="7" fillId="0" borderId="7" xfId="2" applyNumberFormat="1" applyFont="1" applyBorder="1" applyAlignment="1">
      <alignment horizontal="center" vertical="center" wrapText="1"/>
    </xf>
    <xf numFmtId="0" fontId="7" fillId="0" borderId="7" xfId="2" applyFont="1" applyBorder="1" applyAlignment="1">
      <alignment horizontal="center" vertical="center" wrapText="1"/>
    </xf>
    <xf numFmtId="0" fontId="7" fillId="0" borderId="45"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38" xfId="2" applyFont="1" applyBorder="1" applyAlignment="1">
      <alignment horizontal="center" vertical="center" wrapText="1"/>
    </xf>
    <xf numFmtId="0" fontId="7" fillId="0" borderId="84" xfId="2" applyFont="1" applyBorder="1" applyAlignment="1">
      <alignment horizontal="center" vertical="center" wrapText="1"/>
    </xf>
    <xf numFmtId="0" fontId="7" fillId="0" borderId="71" xfId="2" applyFont="1" applyBorder="1" applyAlignment="1">
      <alignment horizontal="center" vertical="center" wrapText="1"/>
    </xf>
    <xf numFmtId="0" fontId="7" fillId="0" borderId="37" xfId="2" applyFont="1" applyBorder="1" applyAlignment="1">
      <alignment horizontal="center" vertical="center" wrapText="1"/>
    </xf>
    <xf numFmtId="0" fontId="2" fillId="9" borderId="36" xfId="2" quotePrefix="1" applyFont="1" applyFill="1" applyBorder="1" applyAlignment="1">
      <alignment horizontal="center" vertical="center" wrapText="1"/>
    </xf>
    <xf numFmtId="0" fontId="7" fillId="9" borderId="27" xfId="2" applyFont="1" applyFill="1" applyBorder="1" applyAlignment="1">
      <alignment horizontal="center" vertical="center" wrapText="1" shrinkToFit="1"/>
    </xf>
    <xf numFmtId="0" fontId="7" fillId="9" borderId="24" xfId="2" applyFont="1" applyFill="1" applyBorder="1" applyAlignment="1">
      <alignment horizontal="center" vertical="center" wrapText="1" shrinkToFit="1"/>
    </xf>
    <xf numFmtId="0" fontId="7" fillId="9" borderId="41" xfId="2" applyFont="1" applyFill="1" applyBorder="1" applyAlignment="1">
      <alignment horizontal="center" vertical="center" wrapText="1" shrinkToFit="1"/>
    </xf>
    <xf numFmtId="0" fontId="2" fillId="0" borderId="70" xfId="2" quotePrefix="1" applyFont="1" applyBorder="1" applyAlignment="1">
      <alignment horizontal="left" vertical="center" wrapText="1"/>
    </xf>
    <xf numFmtId="0" fontId="2" fillId="0" borderId="83" xfId="2" quotePrefix="1" applyFont="1" applyBorder="1" applyAlignment="1">
      <alignment horizontal="left" vertical="center" wrapText="1"/>
    </xf>
    <xf numFmtId="0" fontId="2" fillId="0" borderId="11" xfId="2" quotePrefix="1" applyFont="1" applyBorder="1" applyAlignment="1">
      <alignment horizontal="left" vertical="center" wrapText="1"/>
    </xf>
    <xf numFmtId="0" fontId="8" fillId="0" borderId="45" xfId="2" applyFont="1" applyBorder="1" applyAlignment="1">
      <alignment horizontal="center" vertical="center" wrapText="1" shrinkToFit="1"/>
    </xf>
    <xf numFmtId="0" fontId="8" fillId="0" borderId="30" xfId="2" applyFont="1" applyBorder="1" applyAlignment="1">
      <alignment horizontal="center" vertical="center" wrapText="1" shrinkToFit="1"/>
    </xf>
    <xf numFmtId="0" fontId="8" fillId="0" borderId="13" xfId="2" applyFont="1" applyBorder="1" applyAlignment="1">
      <alignment horizontal="center" vertical="center" wrapText="1" shrinkToFit="1"/>
    </xf>
    <xf numFmtId="49" fontId="2" fillId="3" borderId="70" xfId="2" quotePrefix="1" applyNumberFormat="1" applyFont="1" applyFill="1" applyBorder="1" applyAlignment="1">
      <alignment horizontal="center" vertical="center" wrapText="1"/>
    </xf>
    <xf numFmtId="49" fontId="2" fillId="3" borderId="83" xfId="2" quotePrefix="1" applyNumberFormat="1" applyFont="1" applyFill="1" applyBorder="1" applyAlignment="1">
      <alignment horizontal="center" vertical="center" wrapText="1"/>
    </xf>
    <xf numFmtId="49" fontId="2" fillId="3" borderId="11" xfId="2" quotePrefix="1" applyNumberFormat="1" applyFont="1" applyFill="1" applyBorder="1" applyAlignment="1">
      <alignment horizontal="center" vertical="center" wrapText="1"/>
    </xf>
    <xf numFmtId="2" fontId="2" fillId="3" borderId="29" xfId="2" quotePrefix="1" applyNumberFormat="1" applyFont="1" applyFill="1" applyBorder="1" applyAlignment="1">
      <alignment horizontal="center" vertical="center" wrapText="1"/>
    </xf>
    <xf numFmtId="2" fontId="2" fillId="3" borderId="26" xfId="2" quotePrefix="1" applyNumberFormat="1" applyFont="1" applyFill="1" applyBorder="1" applyAlignment="1">
      <alignment horizontal="center" vertical="center" wrapText="1"/>
    </xf>
    <xf numFmtId="2" fontId="2" fillId="3" borderId="12" xfId="2" quotePrefix="1" applyNumberFormat="1" applyFont="1" applyFill="1" applyBorder="1" applyAlignment="1">
      <alignment horizontal="center" vertical="center" wrapText="1"/>
    </xf>
    <xf numFmtId="49" fontId="7" fillId="0" borderId="45" xfId="0" applyNumberFormat="1" applyFont="1" applyBorder="1" applyAlignment="1">
      <alignment horizontal="center" vertical="center"/>
    </xf>
    <xf numFmtId="49" fontId="7" fillId="0" borderId="30"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2" fillId="9" borderId="121" xfId="2" quotePrefix="1" applyFont="1" applyFill="1" applyBorder="1" applyAlignment="1">
      <alignment horizontal="center" vertical="center" wrapText="1"/>
    </xf>
    <xf numFmtId="0" fontId="6" fillId="0" borderId="118" xfId="0" applyFont="1" applyBorder="1" applyAlignment="1">
      <alignment horizontal="center" vertical="center"/>
    </xf>
    <xf numFmtId="0" fontId="6" fillId="0" borderId="20" xfId="0" applyFont="1" applyBorder="1" applyAlignment="1">
      <alignment horizontal="center" vertical="center"/>
    </xf>
    <xf numFmtId="0" fontId="6" fillId="0" borderId="124" xfId="0" applyFont="1" applyBorder="1" applyAlignment="1">
      <alignment horizontal="center" vertical="center"/>
    </xf>
    <xf numFmtId="0" fontId="6" fillId="6" borderId="110" xfId="2" applyFont="1" applyFill="1" applyBorder="1" applyAlignment="1">
      <alignment horizontal="center" vertical="center" wrapText="1"/>
    </xf>
    <xf numFmtId="0" fontId="6" fillId="6" borderId="111" xfId="2" applyFont="1" applyFill="1" applyBorder="1" applyAlignment="1">
      <alignment horizontal="center" vertical="center" wrapText="1"/>
    </xf>
    <xf numFmtId="0" fontId="6" fillId="6" borderId="117" xfId="2" applyFont="1" applyFill="1" applyBorder="1" applyAlignment="1">
      <alignment horizontal="center" vertical="center" wrapText="1"/>
    </xf>
    <xf numFmtId="0" fontId="6" fillId="6" borderId="95" xfId="2" applyFont="1" applyFill="1" applyBorder="1" applyAlignment="1">
      <alignment horizontal="center" vertical="center" wrapText="1"/>
    </xf>
    <xf numFmtId="0" fontId="6" fillId="6" borderId="96" xfId="2" applyFont="1" applyFill="1" applyBorder="1" applyAlignment="1">
      <alignment horizontal="center" vertical="center" wrapText="1"/>
    </xf>
    <xf numFmtId="0" fontId="6" fillId="6" borderId="97" xfId="2" applyFont="1" applyFill="1" applyBorder="1" applyAlignment="1">
      <alignment horizontal="center" vertical="center" wrapText="1"/>
    </xf>
    <xf numFmtId="49" fontId="2" fillId="3" borderId="114" xfId="2" quotePrefix="1" applyNumberFormat="1" applyFont="1" applyFill="1" applyBorder="1" applyAlignment="1">
      <alignment horizontal="center" vertical="center" wrapText="1"/>
    </xf>
    <xf numFmtId="49" fontId="2" fillId="3" borderId="42" xfId="2" quotePrefix="1" applyNumberFormat="1" applyFont="1" applyFill="1" applyBorder="1" applyAlignment="1">
      <alignment horizontal="center" vertical="center" wrapText="1"/>
    </xf>
    <xf numFmtId="2" fontId="2" fillId="3" borderId="113" xfId="2" quotePrefix="1" applyNumberFormat="1" applyFont="1" applyFill="1" applyBorder="1" applyAlignment="1">
      <alignment horizontal="center" vertical="center" wrapText="1"/>
    </xf>
    <xf numFmtId="2" fontId="2" fillId="3" borderId="43" xfId="2" quotePrefix="1" applyNumberFormat="1" applyFont="1" applyFill="1" applyBorder="1" applyAlignment="1">
      <alignment horizontal="center" vertical="center" wrapText="1"/>
    </xf>
    <xf numFmtId="49" fontId="7" fillId="0" borderId="123" xfId="0" applyNumberFormat="1" applyFont="1" applyBorder="1" applyAlignment="1">
      <alignment horizontal="center" vertical="center"/>
    </xf>
    <xf numFmtId="0" fontId="6" fillId="6" borderId="85" xfId="2" applyFont="1" applyFill="1" applyBorder="1" applyAlignment="1">
      <alignment horizontal="center" vertical="center" wrapText="1"/>
    </xf>
    <xf numFmtId="0" fontId="6" fillId="6" borderId="64" xfId="2" applyFont="1" applyFill="1" applyBorder="1" applyAlignment="1">
      <alignment horizontal="center" vertical="center" wrapText="1"/>
    </xf>
    <xf numFmtId="0" fontId="6" fillId="6" borderId="99" xfId="2" applyFont="1" applyFill="1" applyBorder="1" applyAlignment="1">
      <alignment horizontal="center" vertical="center" wrapText="1"/>
    </xf>
    <xf numFmtId="0" fontId="6" fillId="6" borderId="100" xfId="2" applyFont="1" applyFill="1" applyBorder="1" applyAlignment="1">
      <alignment horizontal="center" vertical="center" wrapText="1"/>
    </xf>
    <xf numFmtId="0" fontId="6" fillId="6" borderId="112" xfId="2" applyFont="1" applyFill="1" applyBorder="1" applyAlignment="1">
      <alignment horizontal="center" vertical="center" wrapText="1"/>
    </xf>
    <xf numFmtId="0" fontId="7" fillId="0" borderId="128" xfId="2" applyFont="1" applyBorder="1" applyAlignment="1">
      <alignment horizontal="left" vertical="center" wrapText="1"/>
    </xf>
    <xf numFmtId="0" fontId="7" fillId="0" borderId="129" xfId="2" applyFont="1" applyBorder="1" applyAlignment="1">
      <alignment horizontal="left" vertical="center" wrapText="1"/>
    </xf>
    <xf numFmtId="0" fontId="7" fillId="0" borderId="130" xfId="2" applyFont="1" applyBorder="1" applyAlignment="1">
      <alignment horizontal="left" vertical="center" wrapText="1"/>
    </xf>
    <xf numFmtId="0" fontId="21" fillId="0" borderId="78" xfId="50" applyFont="1" applyBorder="1" applyAlignment="1">
      <alignment horizontal="left"/>
    </xf>
    <xf numFmtId="0" fontId="21" fillId="0" borderId="79" xfId="50" applyFont="1" applyBorder="1" applyAlignment="1">
      <alignment horizontal="left"/>
    </xf>
    <xf numFmtId="0" fontId="21" fillId="0" borderId="35" xfId="50" applyFont="1" applyBorder="1" applyAlignment="1">
      <alignment horizontal="left"/>
    </xf>
    <xf numFmtId="0" fontId="21" fillId="0" borderId="74" xfId="50" applyFont="1" applyBorder="1" applyAlignment="1">
      <alignment horizontal="center"/>
    </xf>
    <xf numFmtId="0" fontId="21" fillId="0" borderId="75" xfId="50" applyFont="1" applyBorder="1" applyAlignment="1">
      <alignment horizontal="center"/>
    </xf>
    <xf numFmtId="0" fontId="21" fillId="0" borderId="76" xfId="50" applyFont="1" applyBorder="1" applyAlignment="1">
      <alignment horizontal="center"/>
    </xf>
    <xf numFmtId="0" fontId="20" fillId="0" borderId="68" xfId="50" applyFont="1" applyBorder="1" applyAlignment="1">
      <alignment horizontal="center" vertical="center" wrapText="1"/>
    </xf>
    <xf numFmtId="0" fontId="20" fillId="0" borderId="21" xfId="50" applyFont="1" applyBorder="1" applyAlignment="1">
      <alignment horizontal="center" vertical="center" wrapText="1"/>
    </xf>
    <xf numFmtId="0" fontId="20" fillId="0" borderId="69" xfId="50" applyFont="1" applyBorder="1" applyAlignment="1">
      <alignment horizontal="center" vertical="center" wrapText="1"/>
    </xf>
    <xf numFmtId="0" fontId="20" fillId="0" borderId="71" xfId="50" applyFont="1" applyBorder="1" applyAlignment="1">
      <alignment horizontal="center" vertical="center" wrapText="1"/>
    </xf>
    <xf numFmtId="0" fontId="20" fillId="0" borderId="0" xfId="50" applyFont="1" applyAlignment="1">
      <alignment horizontal="center" vertical="center" wrapText="1"/>
    </xf>
    <xf numFmtId="0" fontId="20" fillId="0" borderId="33" xfId="50" applyFont="1" applyBorder="1" applyAlignment="1">
      <alignment horizontal="center" vertical="center" wrapText="1"/>
    </xf>
    <xf numFmtId="0" fontId="20" fillId="0" borderId="37" xfId="50" applyFont="1" applyBorder="1" applyAlignment="1">
      <alignment horizontal="center" vertical="center" wrapText="1"/>
    </xf>
    <xf numFmtId="0" fontId="20" fillId="0" borderId="53" xfId="50" applyFont="1" applyBorder="1" applyAlignment="1">
      <alignment horizontal="center" vertical="center" wrapText="1"/>
    </xf>
    <xf numFmtId="0" fontId="20" fillId="0" borderId="48" xfId="50" applyFont="1" applyBorder="1" applyAlignment="1">
      <alignment horizontal="center" vertical="center" wrapText="1"/>
    </xf>
    <xf numFmtId="0" fontId="21" fillId="0" borderId="72" xfId="50" applyFont="1" applyBorder="1" applyAlignment="1">
      <alignment horizontal="left"/>
    </xf>
    <xf numFmtId="0" fontId="21" fillId="0" borderId="77" xfId="50" applyFont="1" applyBorder="1" applyAlignment="1">
      <alignment horizontal="left"/>
    </xf>
    <xf numFmtId="0" fontId="21" fillId="0" borderId="32" xfId="50" applyFont="1" applyBorder="1" applyAlignment="1">
      <alignment horizontal="left"/>
    </xf>
    <xf numFmtId="0" fontId="21" fillId="0" borderId="37" xfId="50" applyFont="1" applyBorder="1" applyAlignment="1">
      <alignment horizontal="center"/>
    </xf>
    <xf numFmtId="0" fontId="21" fillId="0" borderId="53" xfId="50" applyFont="1" applyBorder="1" applyAlignment="1">
      <alignment horizontal="center"/>
    </xf>
    <xf numFmtId="0" fontId="21" fillId="0" borderId="48" xfId="50" applyFont="1" applyBorder="1" applyAlignment="1">
      <alignment horizontal="center"/>
    </xf>
    <xf numFmtId="0" fontId="21" fillId="0" borderId="78" xfId="50" applyFont="1" applyBorder="1" applyAlignment="1">
      <alignment horizontal="left" vertical="center" wrapText="1"/>
    </xf>
    <xf numFmtId="0" fontId="21" fillId="0" borderId="79" xfId="50" applyFont="1" applyBorder="1" applyAlignment="1">
      <alignment horizontal="left" vertical="center" wrapText="1"/>
    </xf>
    <xf numFmtId="0" fontId="21" fillId="0" borderId="35" xfId="50" applyFont="1" applyBorder="1" applyAlignment="1">
      <alignment horizontal="left" vertical="center" wrapText="1"/>
    </xf>
    <xf numFmtId="0" fontId="21" fillId="0" borderId="72" xfId="144" applyFont="1" applyBorder="1" applyAlignment="1">
      <alignment horizontal="left" vertical="center" wrapText="1"/>
    </xf>
    <xf numFmtId="0" fontId="21" fillId="0" borderId="32" xfId="144" applyFont="1" applyBorder="1" applyAlignment="1">
      <alignment horizontal="left" vertical="center" wrapText="1"/>
    </xf>
    <xf numFmtId="0" fontId="21" fillId="0" borderId="72" xfId="144" applyFont="1" applyBorder="1" applyAlignment="1">
      <alignment horizontal="left"/>
    </xf>
    <xf numFmtId="0" fontId="21" fillId="0" borderId="77" xfId="144" applyFont="1" applyBorder="1" applyAlignment="1">
      <alignment horizontal="left"/>
    </xf>
    <xf numFmtId="0" fontId="21" fillId="0" borderId="32" xfId="144" applyFont="1" applyBorder="1" applyAlignment="1">
      <alignment horizontal="left"/>
    </xf>
    <xf numFmtId="0" fontId="21" fillId="0" borderId="78" xfId="144" applyFont="1" applyBorder="1" applyAlignment="1">
      <alignment horizontal="left"/>
    </xf>
    <xf numFmtId="0" fontId="21" fillId="0" borderId="79" xfId="144" applyFont="1" applyBorder="1" applyAlignment="1">
      <alignment horizontal="left"/>
    </xf>
    <xf numFmtId="0" fontId="21" fillId="0" borderId="35" xfId="144" applyFont="1" applyBorder="1" applyAlignment="1">
      <alignment horizontal="left"/>
    </xf>
    <xf numFmtId="0" fontId="20" fillId="0" borderId="0" xfId="50" applyFont="1" applyAlignment="1">
      <alignment horizontal="justify" vertical="center" wrapText="1"/>
    </xf>
    <xf numFmtId="0" fontId="21" fillId="0" borderId="0" xfId="50" applyFont="1" applyAlignment="1">
      <alignment horizontal="justify" vertical="center" wrapText="1"/>
    </xf>
    <xf numFmtId="0" fontId="21" fillId="0" borderId="72" xfId="102" applyFont="1" applyBorder="1" applyAlignment="1">
      <alignment horizontal="left"/>
    </xf>
    <xf numFmtId="0" fontId="21" fillId="0" borderId="77" xfId="102" applyFont="1" applyBorder="1" applyAlignment="1">
      <alignment horizontal="left"/>
    </xf>
    <xf numFmtId="0" fontId="21" fillId="0" borderId="32" xfId="102" applyFont="1" applyBorder="1" applyAlignment="1">
      <alignment horizontal="left"/>
    </xf>
    <xf numFmtId="4" fontId="21" fillId="0" borderId="29" xfId="50" applyNumberFormat="1" applyFont="1" applyBorder="1" applyAlignment="1">
      <alignment horizontal="center" vertical="center"/>
    </xf>
    <xf numFmtId="4" fontId="21" fillId="0" borderId="26" xfId="50" applyNumberFormat="1" applyFont="1" applyBorder="1" applyAlignment="1">
      <alignment horizontal="center" vertical="center"/>
    </xf>
    <xf numFmtId="4" fontId="21" fillId="0" borderId="45" xfId="50" applyNumberFormat="1" applyFont="1" applyBorder="1" applyAlignment="1">
      <alignment horizontal="center" vertical="center"/>
    </xf>
    <xf numFmtId="4" fontId="21" fillId="0" borderId="30" xfId="50" applyNumberFormat="1" applyFont="1" applyBorder="1" applyAlignment="1">
      <alignment horizontal="center" vertical="center"/>
    </xf>
    <xf numFmtId="0" fontId="21" fillId="0" borderId="84" xfId="50" applyFont="1" applyBorder="1" applyAlignment="1">
      <alignment horizontal="left" vertical="center" wrapText="1"/>
    </xf>
    <xf numFmtId="0" fontId="21" fillId="0" borderId="108" xfId="50" applyFont="1" applyBorder="1" applyAlignment="1">
      <alignment horizontal="left" vertical="center" wrapText="1"/>
    </xf>
    <xf numFmtId="0" fontId="21" fillId="0" borderId="28" xfId="50" applyFont="1" applyBorder="1" applyAlignment="1">
      <alignment horizontal="left" vertical="center" wrapText="1"/>
    </xf>
    <xf numFmtId="0" fontId="21" fillId="0" borderId="71" xfId="50" applyFont="1" applyBorder="1" applyAlignment="1">
      <alignment horizontal="left" vertical="center" wrapText="1"/>
    </xf>
    <xf numFmtId="0" fontId="21" fillId="0" borderId="0" xfId="50" applyFont="1" applyAlignment="1">
      <alignment horizontal="left" vertical="center" wrapText="1"/>
    </xf>
    <xf numFmtId="0" fontId="21" fillId="0" borderId="25" xfId="50" applyFont="1" applyBorder="1" applyAlignment="1">
      <alignment horizontal="left" vertical="center" wrapText="1"/>
    </xf>
    <xf numFmtId="0" fontId="21" fillId="0" borderId="85" xfId="50" applyFont="1" applyBorder="1" applyAlignment="1">
      <alignment horizontal="left" vertical="center" wrapText="1"/>
    </xf>
    <xf numFmtId="0" fontId="21" fillId="0" borderId="64" xfId="50" applyFont="1" applyBorder="1" applyAlignment="1">
      <alignment horizontal="left" vertical="center" wrapText="1"/>
    </xf>
    <xf numFmtId="0" fontId="21" fillId="0" borderId="40" xfId="50" applyFont="1" applyBorder="1" applyAlignment="1">
      <alignment horizontal="left" vertical="center" wrapText="1"/>
    </xf>
    <xf numFmtId="3" fontId="21" fillId="0" borderId="29" xfId="50" applyNumberFormat="1" applyFont="1" applyBorder="1" applyAlignment="1">
      <alignment horizontal="center" vertical="center"/>
    </xf>
    <xf numFmtId="3" fontId="21" fillId="0" borderId="26" xfId="50" applyNumberFormat="1" applyFont="1" applyBorder="1" applyAlignment="1">
      <alignment horizontal="center" vertical="center"/>
    </xf>
    <xf numFmtId="3" fontId="21" fillId="33" borderId="29" xfId="50" applyNumberFormat="1" applyFont="1" applyFill="1" applyBorder="1" applyAlignment="1">
      <alignment horizontal="center" vertical="center"/>
    </xf>
    <xf numFmtId="3" fontId="21" fillId="33" borderId="26" xfId="50" applyNumberFormat="1" applyFont="1" applyFill="1" applyBorder="1" applyAlignment="1">
      <alignment horizontal="center" vertical="center"/>
    </xf>
    <xf numFmtId="4" fontId="21" fillId="0" borderId="45" xfId="50" applyNumberFormat="1" applyFont="1" applyBorder="1" applyAlignment="1">
      <alignment horizontal="right" vertical="center"/>
    </xf>
    <xf numFmtId="4" fontId="21" fillId="0" borderId="13" xfId="50" applyNumberFormat="1" applyFont="1" applyBorder="1" applyAlignment="1">
      <alignment horizontal="right" vertical="center"/>
    </xf>
    <xf numFmtId="3" fontId="21" fillId="0" borderId="12" xfId="50" applyNumberFormat="1" applyFont="1" applyBorder="1" applyAlignment="1">
      <alignment horizontal="center" vertical="center"/>
    </xf>
    <xf numFmtId="3" fontId="21" fillId="33" borderId="29" xfId="50" applyNumberFormat="1" applyFont="1" applyFill="1" applyBorder="1" applyAlignment="1">
      <alignment horizontal="right" vertical="center"/>
    </xf>
    <xf numFmtId="3" fontId="21" fillId="33" borderId="12" xfId="50" applyNumberFormat="1" applyFont="1" applyFill="1" applyBorder="1" applyAlignment="1">
      <alignment horizontal="right" vertical="center"/>
    </xf>
    <xf numFmtId="4" fontId="21" fillId="0" borderId="29" xfId="50" applyNumberFormat="1" applyFont="1" applyBorder="1" applyAlignment="1">
      <alignment horizontal="right" vertical="center"/>
    </xf>
    <xf numFmtId="4" fontId="21" fillId="0" borderId="12" xfId="50" applyNumberFormat="1" applyFont="1" applyBorder="1" applyAlignment="1">
      <alignment horizontal="right" vertical="center"/>
    </xf>
    <xf numFmtId="187" fontId="31" fillId="0" borderId="29" xfId="133" applyNumberFormat="1" applyFont="1" applyFill="1" applyBorder="1" applyAlignment="1">
      <alignment horizontal="right" vertical="center"/>
    </xf>
    <xf numFmtId="187" fontId="31" fillId="0" borderId="26" xfId="133" applyNumberFormat="1" applyFont="1" applyFill="1" applyBorder="1" applyAlignment="1">
      <alignment horizontal="right" vertical="center"/>
    </xf>
    <xf numFmtId="178" fontId="21" fillId="0" borderId="29" xfId="50" applyNumberFormat="1" applyFont="1" applyBorder="1" applyAlignment="1">
      <alignment horizontal="right" vertical="center"/>
    </xf>
    <xf numFmtId="178" fontId="21" fillId="0" borderId="26" xfId="50" applyNumberFormat="1" applyFont="1" applyBorder="1" applyAlignment="1">
      <alignment horizontal="right" vertical="center"/>
    </xf>
    <xf numFmtId="4" fontId="21" fillId="0" borderId="30" xfId="50" applyNumberFormat="1" applyFont="1" applyBorder="1" applyAlignment="1">
      <alignment horizontal="right" vertical="center"/>
    </xf>
    <xf numFmtId="187" fontId="31" fillId="33" borderId="29" xfId="133" applyNumberFormat="1" applyFont="1" applyFill="1" applyBorder="1" applyAlignment="1">
      <alignment horizontal="right" vertical="center"/>
    </xf>
    <xf numFmtId="187" fontId="31" fillId="33" borderId="26" xfId="133" applyNumberFormat="1" applyFont="1" applyFill="1" applyBorder="1" applyAlignment="1">
      <alignment horizontal="right" vertical="center"/>
    </xf>
    <xf numFmtId="187" fontId="31" fillId="33" borderId="12" xfId="133" applyNumberFormat="1" applyFont="1" applyFill="1" applyBorder="1" applyAlignment="1">
      <alignment horizontal="right" vertical="center"/>
    </xf>
    <xf numFmtId="178" fontId="21" fillId="0" borderId="12" xfId="50" applyNumberFormat="1" applyFont="1" applyBorder="1" applyAlignment="1">
      <alignment horizontal="right" vertical="center"/>
    </xf>
    <xf numFmtId="0" fontId="60" fillId="0" borderId="0" xfId="0" applyFont="1" applyAlignment="1">
      <alignment horizontal="center"/>
    </xf>
    <xf numFmtId="0" fontId="21" fillId="0" borderId="14" xfId="102" applyFont="1" applyBorder="1" applyAlignment="1">
      <alignment horizontal="center"/>
    </xf>
    <xf numFmtId="0" fontId="21" fillId="0" borderId="15" xfId="102" applyFont="1" applyBorder="1" applyAlignment="1">
      <alignment horizontal="center"/>
    </xf>
    <xf numFmtId="0" fontId="21" fillId="0" borderId="72" xfId="102" applyFont="1" applyBorder="1" applyAlignment="1">
      <alignment horizontal="center"/>
    </xf>
    <xf numFmtId="0" fontId="21" fillId="0" borderId="32" xfId="102" applyFont="1" applyBorder="1" applyAlignment="1">
      <alignment horizontal="center"/>
    </xf>
    <xf numFmtId="0" fontId="21" fillId="0" borderId="74" xfId="102" applyFont="1" applyBorder="1" applyAlignment="1">
      <alignment horizontal="center"/>
    </xf>
    <xf numFmtId="0" fontId="21" fillId="0" borderId="75" xfId="102" applyFont="1" applyBorder="1" applyAlignment="1">
      <alignment horizontal="center"/>
    </xf>
    <xf numFmtId="0" fontId="21" fillId="0" borderId="76" xfId="102" applyFont="1" applyBorder="1" applyAlignment="1">
      <alignment horizontal="center"/>
    </xf>
    <xf numFmtId="0" fontId="21" fillId="0" borderId="78" xfId="102" applyFont="1" applyBorder="1" applyAlignment="1">
      <alignment horizontal="left"/>
    </xf>
    <xf numFmtId="0" fontId="21" fillId="0" borderId="79" xfId="102" applyFont="1" applyBorder="1" applyAlignment="1">
      <alignment horizontal="left"/>
    </xf>
    <xf numFmtId="0" fontId="21" fillId="0" borderId="35" xfId="102" applyFont="1" applyBorder="1" applyAlignment="1">
      <alignment horizontal="left"/>
    </xf>
    <xf numFmtId="0" fontId="21" fillId="0" borderId="5" xfId="0" applyFont="1" applyBorder="1" applyAlignment="1">
      <alignment horizontal="left" vertical="center" wrapText="1"/>
    </xf>
    <xf numFmtId="0" fontId="21" fillId="0" borderId="6" xfId="0" applyFont="1" applyBorder="1" applyAlignment="1">
      <alignment horizontal="left" vertical="center" wrapText="1"/>
    </xf>
    <xf numFmtId="0" fontId="21" fillId="0" borderId="78" xfId="102" applyFont="1" applyBorder="1" applyAlignment="1">
      <alignment horizontal="center"/>
    </xf>
    <xf numFmtId="0" fontId="21" fillId="0" borderId="79" xfId="102" applyFont="1" applyBorder="1" applyAlignment="1">
      <alignment horizontal="center"/>
    </xf>
    <xf numFmtId="0" fontId="21" fillId="0" borderId="35" xfId="102" applyFont="1" applyBorder="1" applyAlignment="1">
      <alignment horizontal="center"/>
    </xf>
    <xf numFmtId="0" fontId="21" fillId="0" borderId="2" xfId="102" applyFont="1" applyBorder="1" applyAlignment="1">
      <alignment horizontal="center"/>
    </xf>
    <xf numFmtId="0" fontId="21" fillId="0" borderId="3" xfId="102" applyFont="1" applyBorder="1" applyAlignment="1">
      <alignment horizontal="center"/>
    </xf>
    <xf numFmtId="0" fontId="21" fillId="0" borderId="5" xfId="102" applyFont="1" applyBorder="1" applyAlignment="1">
      <alignment horizontal="left"/>
    </xf>
    <xf numFmtId="0" fontId="21" fillId="0" borderId="6" xfId="102" applyFont="1" applyBorder="1" applyAlignment="1">
      <alignment horizontal="left"/>
    </xf>
    <xf numFmtId="0" fontId="21" fillId="18" borderId="72" xfId="102" applyFont="1" applyFill="1" applyBorder="1" applyAlignment="1">
      <alignment horizontal="left" vertical="center" wrapText="1"/>
    </xf>
    <xf numFmtId="0" fontId="21" fillId="18" borderId="77" xfId="102" applyFont="1" applyFill="1" applyBorder="1" applyAlignment="1">
      <alignment horizontal="left" vertical="center" wrapText="1"/>
    </xf>
    <xf numFmtId="0" fontId="21" fillId="18" borderId="32" xfId="102" applyFont="1" applyFill="1" applyBorder="1" applyAlignment="1">
      <alignment horizontal="left" vertical="center" wrapText="1"/>
    </xf>
    <xf numFmtId="0" fontId="21" fillId="18" borderId="72" xfId="102" applyFont="1" applyFill="1" applyBorder="1" applyAlignment="1">
      <alignment horizontal="left"/>
    </xf>
    <xf numFmtId="0" fontId="21" fillId="18" borderId="77" xfId="102" applyFont="1" applyFill="1" applyBorder="1" applyAlignment="1">
      <alignment horizontal="left"/>
    </xf>
    <xf numFmtId="0" fontId="21" fillId="18" borderId="32" xfId="102" applyFont="1" applyFill="1" applyBorder="1" applyAlignment="1">
      <alignment horizontal="left"/>
    </xf>
    <xf numFmtId="0" fontId="21" fillId="18" borderId="5" xfId="0" applyFont="1" applyFill="1" applyBorder="1" applyAlignment="1">
      <alignment horizontal="left"/>
    </xf>
    <xf numFmtId="0" fontId="21" fillId="18" borderId="6" xfId="0" applyFont="1" applyFill="1" applyBorder="1" applyAlignment="1">
      <alignment horizontal="left"/>
    </xf>
    <xf numFmtId="0" fontId="21" fillId="3" borderId="72" xfId="102" applyFont="1" applyFill="1" applyBorder="1" applyAlignment="1">
      <alignment horizontal="left" vertical="center" wrapText="1"/>
    </xf>
    <xf numFmtId="0" fontId="21" fillId="3" borderId="77" xfId="102" applyFont="1" applyFill="1" applyBorder="1" applyAlignment="1">
      <alignment horizontal="left" vertical="center" wrapText="1"/>
    </xf>
    <xf numFmtId="0" fontId="21" fillId="3" borderId="32" xfId="102" applyFont="1" applyFill="1" applyBorder="1" applyAlignment="1">
      <alignment horizontal="left" vertical="center" wrapText="1"/>
    </xf>
    <xf numFmtId="0" fontId="21" fillId="0" borderId="5" xfId="102" applyFont="1" applyBorder="1" applyAlignment="1">
      <alignment horizontal="center"/>
    </xf>
    <xf numFmtId="0" fontId="21" fillId="0" borderId="6" xfId="102" applyFont="1" applyBorder="1" applyAlignment="1">
      <alignment horizontal="center"/>
    </xf>
    <xf numFmtId="0" fontId="57" fillId="32" borderId="51" xfId="0" applyFont="1" applyFill="1" applyBorder="1" applyAlignment="1">
      <alignment horizontal="center" vertical="center"/>
    </xf>
    <xf numFmtId="0" fontId="57" fillId="32" borderId="143" xfId="0" applyFont="1" applyFill="1" applyBorder="1" applyAlignment="1">
      <alignment horizontal="center" vertical="center"/>
    </xf>
    <xf numFmtId="0" fontId="57" fillId="32" borderId="144" xfId="0" applyFont="1" applyFill="1" applyBorder="1" applyAlignment="1">
      <alignment horizontal="center" vertical="center"/>
    </xf>
    <xf numFmtId="0" fontId="59" fillId="0" borderId="54" xfId="0" applyFont="1" applyBorder="1" applyAlignment="1">
      <alignment horizontal="center"/>
    </xf>
    <xf numFmtId="0" fontId="59" fillId="0" borderId="64" xfId="0" applyFont="1" applyBorder="1" applyAlignment="1">
      <alignment horizontal="center"/>
    </xf>
    <xf numFmtId="0" fontId="20" fillId="11" borderId="139" xfId="63" applyFont="1" applyFill="1" applyBorder="1" applyAlignment="1">
      <alignment horizontal="left" vertical="center" wrapText="1"/>
    </xf>
    <xf numFmtId="0" fontId="20" fillId="11" borderId="124" xfId="63" applyFont="1" applyFill="1" applyBorder="1" applyAlignment="1">
      <alignment horizontal="left" vertical="center" wrapText="1"/>
    </xf>
    <xf numFmtId="0" fontId="20" fillId="11" borderId="137" xfId="63" applyFont="1" applyFill="1" applyBorder="1" applyAlignment="1">
      <alignment horizontal="left" vertical="center" wrapText="1"/>
    </xf>
    <xf numFmtId="0" fontId="20" fillId="11" borderId="140" xfId="63" applyFont="1" applyFill="1" applyBorder="1" applyAlignment="1">
      <alignment horizontal="left" vertical="center" wrapText="1"/>
    </xf>
    <xf numFmtId="0" fontId="52" fillId="26" borderId="139" xfId="63" applyFont="1" applyFill="1" applyBorder="1" applyAlignment="1">
      <alignment horizontal="left" vertical="center" wrapText="1"/>
    </xf>
    <xf numFmtId="0" fontId="52" fillId="26" borderId="124" xfId="63" applyFont="1" applyFill="1" applyBorder="1" applyAlignment="1">
      <alignment horizontal="left" vertical="center" wrapText="1"/>
    </xf>
    <xf numFmtId="0" fontId="52" fillId="26" borderId="137" xfId="63" applyFont="1" applyFill="1" applyBorder="1" applyAlignment="1">
      <alignment horizontal="left" vertical="center" wrapText="1"/>
    </xf>
    <xf numFmtId="0" fontId="54" fillId="27" borderId="73" xfId="147" applyFont="1" applyFill="1" applyBorder="1" applyAlignment="1">
      <alignment horizontal="center" vertical="center" textRotation="90"/>
    </xf>
    <xf numFmtId="0" fontId="54" fillId="27" borderId="24" xfId="147" applyFont="1" applyFill="1" applyBorder="1" applyAlignment="1">
      <alignment horizontal="center" vertical="center" textRotation="90"/>
    </xf>
    <xf numFmtId="0" fontId="54" fillId="27" borderId="36" xfId="147" applyFont="1" applyFill="1" applyBorder="1" applyAlignment="1">
      <alignment horizontal="center" vertical="center" textRotation="90"/>
    </xf>
    <xf numFmtId="0" fontId="50" fillId="0" borderId="80" xfId="63" applyFont="1" applyBorder="1" applyAlignment="1">
      <alignment horizontal="center" vertical="center" wrapText="1"/>
    </xf>
    <xf numFmtId="0" fontId="50" fillId="0" borderId="25" xfId="63" applyFont="1" applyBorder="1" applyAlignment="1">
      <alignment horizontal="center" vertical="center" wrapText="1"/>
    </xf>
    <xf numFmtId="0" fontId="50" fillId="0" borderId="40" xfId="63" applyFont="1" applyBorder="1" applyAlignment="1">
      <alignment horizontal="center" vertical="center" wrapText="1"/>
    </xf>
    <xf numFmtId="0" fontId="50" fillId="0" borderId="133" xfId="63" applyFont="1" applyBorder="1" applyAlignment="1">
      <alignment horizontal="center" vertical="center" wrapText="1"/>
    </xf>
    <xf numFmtId="0" fontId="50" fillId="0" borderId="26" xfId="63" applyFont="1" applyBorder="1" applyAlignment="1">
      <alignment horizontal="center" vertical="center" wrapText="1"/>
    </xf>
    <xf numFmtId="0" fontId="50" fillId="0" borderId="12" xfId="63" applyFont="1" applyBorder="1" applyAlignment="1">
      <alignment horizontal="center" vertical="center" wrapText="1"/>
    </xf>
    <xf numFmtId="0" fontId="50" fillId="0" borderId="32" xfId="63" applyFont="1" applyBorder="1" applyAlignment="1">
      <alignment horizontal="center" vertical="center" wrapText="1"/>
    </xf>
    <xf numFmtId="0" fontId="50" fillId="0" borderId="28" xfId="63" applyFont="1" applyBorder="1" applyAlignment="1">
      <alignment horizontal="center" vertical="center" wrapText="1"/>
    </xf>
    <xf numFmtId="0" fontId="50" fillId="0" borderId="6" xfId="63" applyFont="1" applyBorder="1" applyAlignment="1">
      <alignment horizontal="center" vertical="center" wrapText="1"/>
    </xf>
    <xf numFmtId="0" fontId="50" fillId="0" borderId="29" xfId="63" applyFont="1" applyBorder="1" applyAlignment="1">
      <alignment horizontal="center" vertical="center" wrapText="1"/>
    </xf>
    <xf numFmtId="0" fontId="50" fillId="0" borderId="43" xfId="63" applyFont="1" applyBorder="1" applyAlignment="1">
      <alignment horizontal="center" vertical="center" wrapText="1"/>
    </xf>
    <xf numFmtId="0" fontId="53" fillId="24" borderId="139" xfId="63" applyFont="1" applyFill="1" applyBorder="1" applyAlignment="1">
      <alignment horizontal="left" vertical="center" wrapText="1"/>
    </xf>
    <xf numFmtId="0" fontId="53" fillId="24" borderId="124" xfId="63" applyFont="1" applyFill="1" applyBorder="1" applyAlignment="1">
      <alignment horizontal="left" vertical="center" wrapText="1"/>
    </xf>
    <xf numFmtId="0" fontId="53" fillId="24" borderId="137" xfId="63" applyFont="1" applyFill="1" applyBorder="1" applyAlignment="1">
      <alignment horizontal="left" vertical="center" wrapText="1"/>
    </xf>
    <xf numFmtId="0" fontId="53" fillId="26" borderId="139" xfId="63" applyFont="1" applyFill="1" applyBorder="1" applyAlignment="1">
      <alignment horizontal="center" vertical="center" wrapText="1"/>
    </xf>
    <xf numFmtId="0" fontId="53" fillId="26" borderId="124" xfId="63" applyFont="1" applyFill="1" applyBorder="1" applyAlignment="1">
      <alignment horizontal="center" vertical="center" wrapText="1"/>
    </xf>
    <xf numFmtId="0" fontId="53" fillId="26" borderId="137" xfId="63" applyFont="1" applyFill="1" applyBorder="1" applyAlignment="1">
      <alignment horizontal="center" vertical="center" wrapText="1"/>
    </xf>
    <xf numFmtId="0" fontId="53" fillId="26" borderId="138" xfId="63" applyFont="1" applyFill="1" applyBorder="1" applyAlignment="1">
      <alignment horizontal="center" vertical="center" wrapText="1"/>
    </xf>
    <xf numFmtId="0" fontId="53" fillId="22" borderId="139" xfId="63" applyFont="1" applyFill="1" applyBorder="1" applyAlignment="1">
      <alignment horizontal="left" vertical="center" wrapText="1"/>
    </xf>
    <xf numFmtId="0" fontId="53" fillId="22" borderId="124" xfId="63" applyFont="1" applyFill="1" applyBorder="1" applyAlignment="1">
      <alignment horizontal="left" vertical="center" wrapText="1"/>
    </xf>
    <xf numFmtId="0" fontId="53" fillId="22" borderId="137" xfId="63" applyFont="1" applyFill="1" applyBorder="1" applyAlignment="1">
      <alignment horizontal="left" vertical="center" wrapText="1"/>
    </xf>
    <xf numFmtId="0" fontId="53" fillId="24" borderId="139" xfId="63" applyFont="1" applyFill="1" applyBorder="1" applyAlignment="1">
      <alignment horizontal="center" vertical="center" wrapText="1"/>
    </xf>
    <xf numFmtId="0" fontId="53" fillId="24" borderId="124" xfId="63" applyFont="1" applyFill="1" applyBorder="1" applyAlignment="1">
      <alignment horizontal="center" vertical="center" wrapText="1"/>
    </xf>
    <xf numFmtId="0" fontId="53" fillId="24" borderId="137" xfId="63" applyFont="1" applyFill="1" applyBorder="1" applyAlignment="1">
      <alignment horizontal="center" vertical="center" wrapText="1"/>
    </xf>
    <xf numFmtId="0" fontId="53" fillId="24" borderId="138" xfId="63" applyFont="1" applyFill="1" applyBorder="1" applyAlignment="1">
      <alignment horizontal="center" vertical="center" wrapText="1"/>
    </xf>
    <xf numFmtId="0" fontId="54" fillId="25" borderId="73" xfId="147" applyFont="1" applyFill="1" applyBorder="1" applyAlignment="1">
      <alignment horizontal="center" vertical="center" textRotation="90" wrapText="1"/>
    </xf>
    <xf numFmtId="0" fontId="54" fillId="25" borderId="24" xfId="147" applyFont="1" applyFill="1" applyBorder="1" applyAlignment="1">
      <alignment horizontal="center" vertical="center" textRotation="90" wrapText="1"/>
    </xf>
    <xf numFmtId="0" fontId="54" fillId="23" borderId="73" xfId="147" applyFont="1" applyFill="1" applyBorder="1" applyAlignment="1">
      <alignment horizontal="center" vertical="center" textRotation="90" wrapText="1"/>
    </xf>
    <xf numFmtId="0" fontId="54" fillId="23" borderId="24" xfId="147" applyFont="1" applyFill="1" applyBorder="1" applyAlignment="1">
      <alignment horizontal="center" vertical="center" textRotation="90" wrapText="1"/>
    </xf>
    <xf numFmtId="0" fontId="20" fillId="0" borderId="84" xfId="64" applyFont="1" applyBorder="1" applyAlignment="1">
      <alignment horizontal="left" vertical="center"/>
    </xf>
    <xf numFmtId="0" fontId="20" fillId="0" borderId="108" xfId="64" applyFont="1" applyBorder="1" applyAlignment="1">
      <alignment horizontal="left" vertical="center"/>
    </xf>
    <xf numFmtId="0" fontId="53" fillId="20" borderId="139" xfId="63" applyFont="1" applyFill="1" applyBorder="1" applyAlignment="1">
      <alignment horizontal="left" vertical="center" wrapText="1"/>
    </xf>
    <xf numFmtId="0" fontId="53" fillId="20" borderId="124" xfId="63" applyFont="1" applyFill="1" applyBorder="1" applyAlignment="1">
      <alignment horizontal="left" vertical="center" wrapText="1"/>
    </xf>
    <xf numFmtId="0" fontId="53" fillId="20" borderId="137" xfId="63" applyFont="1" applyFill="1" applyBorder="1" applyAlignment="1">
      <alignment horizontal="left" vertical="center" wrapText="1"/>
    </xf>
    <xf numFmtId="0" fontId="53" fillId="22" borderId="136" xfId="63" applyFont="1" applyFill="1" applyBorder="1" applyAlignment="1">
      <alignment horizontal="center" vertical="center" wrapText="1"/>
    </xf>
    <xf numFmtId="0" fontId="53" fillId="22" borderId="80" xfId="63" applyFont="1" applyFill="1" applyBorder="1" applyAlignment="1">
      <alignment horizontal="center" vertical="center" wrapText="1"/>
    </xf>
    <xf numFmtId="0" fontId="53" fillId="22" borderId="133" xfId="63" applyFont="1" applyFill="1" applyBorder="1" applyAlignment="1">
      <alignment horizontal="center" vertical="center" wrapText="1"/>
    </xf>
    <xf numFmtId="0" fontId="53" fillId="22" borderId="135" xfId="63" applyFont="1" applyFill="1" applyBorder="1" applyAlignment="1">
      <alignment horizontal="center" vertical="center" wrapText="1"/>
    </xf>
    <xf numFmtId="0" fontId="20" fillId="0" borderId="28" xfId="64" applyFont="1" applyBorder="1" applyAlignment="1">
      <alignment horizontal="left" vertical="center"/>
    </xf>
    <xf numFmtId="0" fontId="53" fillId="20" borderId="136" xfId="63" applyFont="1" applyFill="1" applyBorder="1" applyAlignment="1">
      <alignment horizontal="center" vertical="center" wrapText="1"/>
    </xf>
    <xf numFmtId="0" fontId="53" fillId="20" borderId="80" xfId="63" applyFont="1" applyFill="1" applyBorder="1" applyAlignment="1">
      <alignment horizontal="center" vertical="center" wrapText="1"/>
    </xf>
    <xf numFmtId="0" fontId="53" fillId="20" borderId="133" xfId="63" applyFont="1" applyFill="1" applyBorder="1" applyAlignment="1">
      <alignment horizontal="center" vertical="center" wrapText="1"/>
    </xf>
    <xf numFmtId="0" fontId="53" fillId="20" borderId="135" xfId="63" applyFont="1" applyFill="1" applyBorder="1" applyAlignment="1">
      <alignment horizontal="center" vertical="center" wrapText="1"/>
    </xf>
    <xf numFmtId="0" fontId="54" fillId="21" borderId="73" xfId="147" applyFont="1" applyFill="1" applyBorder="1" applyAlignment="1">
      <alignment horizontal="center" vertical="center" textRotation="90"/>
    </xf>
    <xf numFmtId="0" fontId="54" fillId="21" borderId="24" xfId="147" applyFont="1" applyFill="1" applyBorder="1" applyAlignment="1">
      <alignment horizontal="center" vertical="center" textRotation="90"/>
    </xf>
    <xf numFmtId="0" fontId="54" fillId="21" borderId="36" xfId="147" applyFont="1" applyFill="1" applyBorder="1" applyAlignment="1">
      <alignment horizontal="center" vertical="center" textRotation="90"/>
    </xf>
    <xf numFmtId="0" fontId="2" fillId="4" borderId="68" xfId="2" applyFont="1" applyFill="1" applyBorder="1" applyAlignment="1">
      <alignment horizontal="center" vertical="center" wrapText="1"/>
    </xf>
    <xf numFmtId="0" fontId="2" fillId="4" borderId="21" xfId="2" applyFont="1" applyFill="1" applyBorder="1" applyAlignment="1">
      <alignment horizontal="center" vertical="center" wrapText="1"/>
    </xf>
    <xf numFmtId="0" fontId="2" fillId="4" borderId="69" xfId="2" applyFont="1" applyFill="1" applyBorder="1" applyAlignment="1">
      <alignment horizontal="center" vertical="center" wrapText="1"/>
    </xf>
    <xf numFmtId="0" fontId="2" fillId="4" borderId="71" xfId="2" applyFont="1" applyFill="1" applyBorder="1" applyAlignment="1">
      <alignment horizontal="center" vertical="center" wrapText="1"/>
    </xf>
    <xf numFmtId="0" fontId="2" fillId="4" borderId="0" xfId="2" applyFont="1" applyFill="1" applyAlignment="1">
      <alignment horizontal="center" vertical="center" wrapText="1"/>
    </xf>
    <xf numFmtId="0" fontId="2" fillId="4" borderId="33" xfId="2" applyFont="1" applyFill="1" applyBorder="1" applyAlignment="1">
      <alignment horizontal="center" vertical="center" wrapText="1"/>
    </xf>
    <xf numFmtId="0" fontId="2" fillId="4" borderId="37" xfId="2" applyFont="1" applyFill="1" applyBorder="1" applyAlignment="1">
      <alignment horizontal="center" vertical="center" wrapText="1"/>
    </xf>
    <xf numFmtId="0" fontId="2" fillId="4" borderId="53" xfId="2" applyFont="1" applyFill="1" applyBorder="1" applyAlignment="1">
      <alignment horizontal="center" vertical="center" wrapText="1"/>
    </xf>
    <xf numFmtId="0" fontId="2" fillId="4" borderId="48" xfId="2" applyFont="1" applyFill="1" applyBorder="1" applyAlignment="1">
      <alignment horizontal="center" vertical="center" wrapText="1"/>
    </xf>
    <xf numFmtId="0" fontId="51" fillId="0" borderId="20" xfId="63" applyFont="1" applyBorder="1" applyAlignment="1">
      <alignment horizontal="center" vertical="center" wrapText="1"/>
    </xf>
    <xf numFmtId="0" fontId="51" fillId="0" borderId="119" xfId="63" applyFont="1" applyBorder="1" applyAlignment="1">
      <alignment horizontal="center" vertical="center" wrapText="1"/>
    </xf>
    <xf numFmtId="0" fontId="20" fillId="0" borderId="68" xfId="64" applyFont="1" applyBorder="1" applyAlignment="1">
      <alignment horizontal="left" vertical="center"/>
    </xf>
    <xf numFmtId="0" fontId="20" fillId="0" borderId="21" xfId="64" applyFont="1" applyBorder="1" applyAlignment="1">
      <alignment horizontal="left" vertical="center"/>
    </xf>
    <xf numFmtId="0" fontId="4" fillId="5" borderId="9" xfId="2" quotePrefix="1" applyFont="1" applyFill="1" applyBorder="1" applyAlignment="1">
      <alignment horizontal="center" vertical="center" wrapText="1"/>
    </xf>
    <xf numFmtId="0" fontId="4" fillId="5" borderId="104" xfId="2" quotePrefix="1" applyFont="1" applyFill="1" applyBorder="1" applyAlignment="1">
      <alignment horizontal="center" vertical="center" wrapText="1"/>
    </xf>
    <xf numFmtId="0" fontId="4" fillId="5" borderId="91" xfId="2" quotePrefix="1" applyFont="1" applyFill="1" applyBorder="1" applyAlignment="1">
      <alignment horizontal="center" vertical="center" wrapText="1"/>
    </xf>
    <xf numFmtId="0" fontId="4" fillId="5" borderId="105" xfId="2" quotePrefix="1" applyFont="1" applyFill="1" applyBorder="1" applyAlignment="1">
      <alignment horizontal="center" vertical="center" wrapText="1"/>
    </xf>
    <xf numFmtId="0" fontId="5" fillId="7" borderId="54" xfId="2" applyFont="1" applyFill="1" applyBorder="1" applyAlignment="1">
      <alignment horizontal="center" vertical="center" wrapText="1"/>
    </xf>
    <xf numFmtId="0" fontId="5" fillId="7" borderId="64" xfId="2" applyFont="1" applyFill="1" applyBorder="1" applyAlignment="1">
      <alignment horizontal="center" vertical="center" wrapText="1"/>
    </xf>
    <xf numFmtId="0" fontId="5" fillId="7" borderId="40" xfId="2" applyFont="1" applyFill="1" applyBorder="1" applyAlignment="1">
      <alignment horizontal="center" vertical="center" wrapText="1"/>
    </xf>
    <xf numFmtId="0" fontId="5" fillId="7" borderId="55" xfId="2" applyFont="1" applyFill="1" applyBorder="1" applyAlignment="1">
      <alignment horizontal="center" vertical="center" wrapText="1"/>
    </xf>
    <xf numFmtId="0" fontId="5" fillId="7" borderId="77" xfId="2" applyFont="1" applyFill="1" applyBorder="1" applyAlignment="1">
      <alignment horizontal="center" vertical="center" wrapText="1"/>
    </xf>
    <xf numFmtId="0" fontId="5" fillId="7" borderId="32" xfId="2" applyFont="1" applyFill="1" applyBorder="1" applyAlignment="1">
      <alignment horizontal="center" vertical="center" wrapText="1"/>
    </xf>
  </cellXfs>
  <cellStyles count="179">
    <cellStyle name="Cancel 3" xfId="7" xr:uid="{00000000-0005-0000-0000-000000000000}"/>
    <cellStyle name="Cancel_PRESUPUESTO" xfId="8" xr:uid="{00000000-0005-0000-0000-000001000000}"/>
    <cellStyle name="CUADRO1" xfId="83" xr:uid="{00000000-0005-0000-0000-000002000000}"/>
    <cellStyle name="CUADRO1 2" xfId="84" xr:uid="{00000000-0005-0000-0000-000003000000}"/>
    <cellStyle name="Euro" xfId="9" xr:uid="{00000000-0005-0000-0000-000004000000}"/>
    <cellStyle name="Euro 2" xfId="85" xr:uid="{00000000-0005-0000-0000-000005000000}"/>
    <cellStyle name="Excel Built-in Normal" xfId="10" xr:uid="{00000000-0005-0000-0000-000006000000}"/>
    <cellStyle name="Excel Built-in Normal 1" xfId="86" xr:uid="{00000000-0005-0000-0000-000007000000}"/>
    <cellStyle name="Excel Built-in Normal 1 2" xfId="87" xr:uid="{00000000-0005-0000-0000-000008000000}"/>
    <cellStyle name="Excel Built-in Normal 1_CRONOGRAMA" xfId="88" xr:uid="{00000000-0005-0000-0000-000009000000}"/>
    <cellStyle name="Excel Built-in Normal 2" xfId="11" xr:uid="{00000000-0005-0000-0000-00000A000000}"/>
    <cellStyle name="Hipervínculo" xfId="6" builtinId="8"/>
    <cellStyle name="Millares" xfId="133" builtinId="3"/>
    <cellStyle name="Millares [0] 2" xfId="12" xr:uid="{00000000-0005-0000-0000-00000D000000}"/>
    <cellStyle name="Millares [0] 2 2" xfId="139" xr:uid="{F648EE3E-AD30-45AE-B495-808FDC0E8E23}"/>
    <cellStyle name="Millares [0] 2 2 2" xfId="176" xr:uid="{9E3FC22F-C4DC-41B5-85C4-BB2B7525D16B}"/>
    <cellStyle name="Millares [0] 2 3" xfId="150" xr:uid="{5D038840-44B5-4419-86A2-4B44090B5E47}"/>
    <cellStyle name="Millares [0] 3" xfId="13" xr:uid="{00000000-0005-0000-0000-00000E000000}"/>
    <cellStyle name="Millares [0] 3 2" xfId="151" xr:uid="{C8B80995-1E3D-4B48-B20A-4EEB3FEC966A}"/>
    <cellStyle name="Millares 10" xfId="89" xr:uid="{00000000-0005-0000-0000-00000F000000}"/>
    <cellStyle name="Millares 10 2" xfId="90" xr:uid="{00000000-0005-0000-0000-000010000000}"/>
    <cellStyle name="Millares 10 2 2" xfId="163" xr:uid="{B5D3E4D8-3137-41C1-B4C3-B08A2828739D}"/>
    <cellStyle name="Millares 10 3" xfId="91" xr:uid="{00000000-0005-0000-0000-000011000000}"/>
    <cellStyle name="Millares 10 3 2" xfId="164" xr:uid="{666533AE-E570-4C1F-8459-6A690DFDD2EB}"/>
    <cellStyle name="Millares 17" xfId="14" xr:uid="{00000000-0005-0000-0000-000012000000}"/>
    <cellStyle name="Millares 17 2" xfId="152" xr:uid="{F2E7704D-2DDB-4AB2-A73D-171EA4A5E804}"/>
    <cellStyle name="Millares 2" xfId="15" xr:uid="{00000000-0005-0000-0000-000013000000}"/>
    <cellStyle name="Millares 2 2" xfId="16" xr:uid="{00000000-0005-0000-0000-000014000000}"/>
    <cellStyle name="Millares 2 2 2" xfId="146" xr:uid="{DA1E8A01-F0D1-4812-A17B-BC7BB5242446}"/>
    <cellStyle name="Millares 2 3" xfId="17" xr:uid="{00000000-0005-0000-0000-000015000000}"/>
    <cellStyle name="Millares 2 3 2" xfId="92" xr:uid="{00000000-0005-0000-0000-000016000000}"/>
    <cellStyle name="Millares 2 3 2 2" xfId="165" xr:uid="{BACEF9D6-C12C-4B36-BA58-F9EE3F7F5EAD}"/>
    <cellStyle name="Millares 2 3 3" xfId="93" xr:uid="{00000000-0005-0000-0000-000017000000}"/>
    <cellStyle name="Millares 2 3 3 2" xfId="166" xr:uid="{E96C31CB-5E85-4478-8160-4711D87D6B61}"/>
    <cellStyle name="Millares 2 4" xfId="18" xr:uid="{00000000-0005-0000-0000-000018000000}"/>
    <cellStyle name="Millares 2 5" xfId="94" xr:uid="{00000000-0005-0000-0000-000019000000}"/>
    <cellStyle name="Millares 2 5 2" xfId="167" xr:uid="{4CBD492D-9569-48F5-BB99-06F44286E18E}"/>
    <cellStyle name="Millares 2 6" xfId="153" xr:uid="{BD38695F-A08B-4D77-A07E-BA8EFA13E915}"/>
    <cellStyle name="Millares 3" xfId="19" xr:uid="{00000000-0005-0000-0000-00001A000000}"/>
    <cellStyle name="Millares 3 2" xfId="95" xr:uid="{00000000-0005-0000-0000-00001B000000}"/>
    <cellStyle name="Millares 3 2 2" xfId="168" xr:uid="{90FC4494-0F2C-458E-9358-0DE53930E1AC}"/>
    <cellStyle name="Millares 3 3" xfId="96" xr:uid="{00000000-0005-0000-0000-00001C000000}"/>
    <cellStyle name="Millares 3 3 2" xfId="169" xr:uid="{8738A82B-35CC-4FBD-9AC1-181FA5D11854}"/>
    <cellStyle name="Millares 4" xfId="20" xr:uid="{00000000-0005-0000-0000-00001D000000}"/>
    <cellStyle name="Millares 4 2" xfId="21" xr:uid="{00000000-0005-0000-0000-00001E000000}"/>
    <cellStyle name="Millares 4 2 2" xfId="154" xr:uid="{3B4E3411-B6A8-43FD-93F6-F999C137942E}"/>
    <cellStyle name="Millares 4 3" xfId="97" xr:uid="{00000000-0005-0000-0000-00001F000000}"/>
    <cellStyle name="Millares 4 3 2" xfId="170" xr:uid="{CF6C8C7D-1317-4AC2-AC39-DE029694E563}"/>
    <cellStyle name="Millares 5" xfId="22" xr:uid="{00000000-0005-0000-0000-000020000000}"/>
    <cellStyle name="Millares 5 2" xfId="155" xr:uid="{209FE1FC-936A-4948-990B-5C82EB910269}"/>
    <cellStyle name="Millares 6" xfId="23" xr:uid="{00000000-0005-0000-0000-000021000000}"/>
    <cellStyle name="Millares 6 2" xfId="156" xr:uid="{EBDE0CF1-0526-456E-8384-E08C66A68520}"/>
    <cellStyle name="Millares 7" xfId="172" xr:uid="{D2890EBF-B4B4-4119-AE18-0F94DABA2063}"/>
    <cellStyle name="Millares 8" xfId="98" xr:uid="{00000000-0005-0000-0000-000022000000}"/>
    <cellStyle name="Millares 9" xfId="177" xr:uid="{1EA648F1-3840-4EE7-BD16-4265D8F2822E}"/>
    <cellStyle name="Moneda" xfId="134" builtinId="4"/>
    <cellStyle name="Moneda [0]" xfId="128" builtinId="7"/>
    <cellStyle name="Moneda [0] 2" xfId="24" xr:uid="{00000000-0005-0000-0000-000025000000}"/>
    <cellStyle name="Moneda [0] 2 2" xfId="25" xr:uid="{00000000-0005-0000-0000-000026000000}"/>
    <cellStyle name="Moneda [0] 2 2 2" xfId="158" xr:uid="{40B709D6-3212-4FF1-9DD2-0AB945604EFC}"/>
    <cellStyle name="Moneda [0] 2 3" xfId="26" xr:uid="{00000000-0005-0000-0000-000027000000}"/>
    <cellStyle name="Moneda [0] 2 3 2" xfId="159" xr:uid="{85B36FDF-4CD6-4A6B-856B-16A1EF532321}"/>
    <cellStyle name="Moneda [0] 2 4" xfId="3" xr:uid="{00000000-0005-0000-0000-000028000000}"/>
    <cellStyle name="Moneda [0] 2 5" xfId="157" xr:uid="{5C50600C-A2E8-46B3-97E4-35E4DEB9A4E4}"/>
    <cellStyle name="Moneda [0] 3" xfId="27" xr:uid="{00000000-0005-0000-0000-000029000000}"/>
    <cellStyle name="Moneda [0] 3 2" xfId="28" xr:uid="{00000000-0005-0000-0000-00002A000000}"/>
    <cellStyle name="Moneda [0] 3 3" xfId="99" xr:uid="{00000000-0005-0000-0000-00002B000000}"/>
    <cellStyle name="Moneda [0] 4" xfId="29" xr:uid="{00000000-0005-0000-0000-00002C000000}"/>
    <cellStyle name="Moneda [0] 4 2" xfId="160" xr:uid="{C6F0748A-7F23-498F-B742-F114EFEE9A5B}"/>
    <cellStyle name="Moneda [0] 5" xfId="30" xr:uid="{00000000-0005-0000-0000-00002D000000}"/>
    <cellStyle name="Moneda [0] 5 2" xfId="161" xr:uid="{C506D28E-B624-4BA1-8704-0FE64E73DC57}"/>
    <cellStyle name="Moneda [0] 6" xfId="31" xr:uid="{00000000-0005-0000-0000-00002E000000}"/>
    <cellStyle name="Moneda [0] 7" xfId="171" xr:uid="{4F405D36-CD0E-4C95-A016-8ABEBF7DC60F}"/>
    <cellStyle name="Moneda 10" xfId="4" xr:uid="{00000000-0005-0000-0000-00002F000000}"/>
    <cellStyle name="Moneda 10 2" xfId="149" xr:uid="{0A05087D-3A72-4606-BEF4-9851C6ECC2D7}"/>
    <cellStyle name="Moneda 11" xfId="32" xr:uid="{00000000-0005-0000-0000-000030000000}"/>
    <cellStyle name="Moneda 12" xfId="33" xr:uid="{00000000-0005-0000-0000-000031000000}"/>
    <cellStyle name="Moneda 12 2" xfId="162" xr:uid="{100FF9E1-D477-4E54-9976-6F42376CB712}"/>
    <cellStyle name="Moneda 13" xfId="173" xr:uid="{2B702031-CAFD-4200-A99D-2E5E99A8992E}"/>
    <cellStyle name="Moneda 14" xfId="178" xr:uid="{AC7ECDB2-EE25-4FBF-B123-2A054847C5FD}"/>
    <cellStyle name="Moneda 2" xfId="34" xr:uid="{00000000-0005-0000-0000-000032000000}"/>
    <cellStyle name="Moneda 2 12 2" xfId="100" xr:uid="{00000000-0005-0000-0000-000033000000}"/>
    <cellStyle name="Moneda 2 2" xfId="35" xr:uid="{00000000-0005-0000-0000-000034000000}"/>
    <cellStyle name="Moneda 2 2 2" xfId="36" xr:uid="{00000000-0005-0000-0000-000035000000}"/>
    <cellStyle name="Moneda 2 2 2 2" xfId="37" xr:uid="{00000000-0005-0000-0000-000036000000}"/>
    <cellStyle name="Moneda 2 3" xfId="38" xr:uid="{00000000-0005-0000-0000-000037000000}"/>
    <cellStyle name="Moneda 2 4" xfId="136" xr:uid="{9FA7176F-B039-44EF-978D-423D0118565B}"/>
    <cellStyle name="Moneda 2 4 2" xfId="174" xr:uid="{F24D4048-76E9-4D36-8531-C8B312792C0D}"/>
    <cellStyle name="Moneda 3" xfId="39" xr:uid="{00000000-0005-0000-0000-000038000000}"/>
    <cellStyle name="Moneda 3 2" xfId="40" xr:uid="{00000000-0005-0000-0000-000039000000}"/>
    <cellStyle name="Moneda 3 2 2" xfId="101" xr:uid="{00000000-0005-0000-0000-00003A000000}"/>
    <cellStyle name="Moneda 3 3" xfId="41" xr:uid="{00000000-0005-0000-0000-00003B000000}"/>
    <cellStyle name="Moneda 4" xfId="42" xr:uid="{00000000-0005-0000-0000-00003C000000}"/>
    <cellStyle name="Moneda 4 2" xfId="43" xr:uid="{00000000-0005-0000-0000-00003D000000}"/>
    <cellStyle name="Moneda 4 3" xfId="44" xr:uid="{00000000-0005-0000-0000-00003E000000}"/>
    <cellStyle name="Moneda 4 4" xfId="5" xr:uid="{00000000-0005-0000-0000-00003F000000}"/>
    <cellStyle name="Moneda 5" xfId="45" xr:uid="{00000000-0005-0000-0000-000040000000}"/>
    <cellStyle name="Moneda 6" xfId="46" xr:uid="{00000000-0005-0000-0000-000041000000}"/>
    <cellStyle name="Moneda 7" xfId="47" xr:uid="{00000000-0005-0000-0000-000042000000}"/>
    <cellStyle name="Moneda 8" xfId="48" xr:uid="{00000000-0005-0000-0000-000043000000}"/>
    <cellStyle name="Moneda 9" xfId="49" xr:uid="{00000000-0005-0000-0000-000044000000}"/>
    <cellStyle name="Moneda_Propuesta SCV-045-99" xfId="81" xr:uid="{00000000-0005-0000-0000-000045000000}"/>
    <cellStyle name="Normal" xfId="0" builtinId="0"/>
    <cellStyle name="Normal 10" xfId="50" xr:uid="{00000000-0005-0000-0000-000047000000}"/>
    <cellStyle name="Normal 10 10 2" xfId="102" xr:uid="{00000000-0005-0000-0000-000048000000}"/>
    <cellStyle name="Normal 10 2" xfId="51" xr:uid="{00000000-0005-0000-0000-000049000000}"/>
    <cellStyle name="Normal 10 2 2" xfId="130" xr:uid="{00000000-0005-0000-0000-00004A000000}"/>
    <cellStyle name="Normal 10 7" xfId="144" xr:uid="{9860EBBD-9CA4-4728-A310-DDDFFC860871}"/>
    <cellStyle name="Normal 10_CRONOGRAMA" xfId="103" xr:uid="{00000000-0005-0000-0000-00004B000000}"/>
    <cellStyle name="Normal 11" xfId="52" xr:uid="{00000000-0005-0000-0000-00004C000000}"/>
    <cellStyle name="Normal 11 45 10 2 2" xfId="141" xr:uid="{3FF3113F-8A0A-43E0-A81B-7B7A2B35B5A2}"/>
    <cellStyle name="Normal 12" xfId="53" xr:uid="{00000000-0005-0000-0000-00004D000000}"/>
    <cellStyle name="Normal 12 2" xfId="104" xr:uid="{00000000-0005-0000-0000-00004E000000}"/>
    <cellStyle name="Normal 12 3" xfId="105" xr:uid="{00000000-0005-0000-0000-00004F000000}"/>
    <cellStyle name="Normal 14" xfId="106" xr:uid="{00000000-0005-0000-0000-000050000000}"/>
    <cellStyle name="Normal 2" xfId="54" xr:uid="{00000000-0005-0000-0000-000051000000}"/>
    <cellStyle name="Normal 2 10 2" xfId="107" xr:uid="{00000000-0005-0000-0000-000052000000}"/>
    <cellStyle name="Normal 2 14" xfId="55" xr:uid="{00000000-0005-0000-0000-000053000000}"/>
    <cellStyle name="Normal 2 16 2" xfId="56" xr:uid="{00000000-0005-0000-0000-000054000000}"/>
    <cellStyle name="Normal 2 2" xfId="57" xr:uid="{00000000-0005-0000-0000-000055000000}"/>
    <cellStyle name="Normal 2 2 2" xfId="58" xr:uid="{00000000-0005-0000-0000-000056000000}"/>
    <cellStyle name="Normal 2 2 2 2 10" xfId="59" xr:uid="{00000000-0005-0000-0000-000057000000}"/>
    <cellStyle name="Normal 2 2 2 2 2" xfId="108" xr:uid="{00000000-0005-0000-0000-000058000000}"/>
    <cellStyle name="Normal 2 2 3 2" xfId="145" xr:uid="{1530D8C8-524A-4F15-9626-4D947024096E}"/>
    <cellStyle name="Normal 2 2 5 2" xfId="109" xr:uid="{00000000-0005-0000-0000-000059000000}"/>
    <cellStyle name="Normal 2 3" xfId="60" xr:uid="{00000000-0005-0000-0000-00005A000000}"/>
    <cellStyle name="Normal 2 3 2" xfId="61" xr:uid="{00000000-0005-0000-0000-00005B000000}"/>
    <cellStyle name="Normal 2 3 3" xfId="131" xr:uid="{00000000-0005-0000-0000-00005C000000}"/>
    <cellStyle name="Normal 2 4" xfId="62" xr:uid="{00000000-0005-0000-0000-00005D000000}"/>
    <cellStyle name="Normal 2 5" xfId="143" xr:uid="{49A56D1D-0631-4FD0-9D38-0F2DEF697D29}"/>
    <cellStyle name="Normal 2_FORMATOS_PARA_ENTREGAR 2 2" xfId="110" xr:uid="{00000000-0005-0000-0000-00005E000000}"/>
    <cellStyle name="Normal 3" xfId="63" xr:uid="{00000000-0005-0000-0000-00005F000000}"/>
    <cellStyle name="Normal 3 2" xfId="64" xr:uid="{00000000-0005-0000-0000-000060000000}"/>
    <cellStyle name="Normal 3 2 14" xfId="135" xr:uid="{2B61036C-2F2E-4E05-BD93-66B2014B7E74}"/>
    <cellStyle name="Normal 3 2 2" xfId="111" xr:uid="{00000000-0005-0000-0000-000061000000}"/>
    <cellStyle name="Normal 3 2 3" xfId="112" xr:uid="{00000000-0005-0000-0000-000062000000}"/>
    <cellStyle name="Normal 3 2 4" xfId="147" xr:uid="{BB9DD95D-B65D-489B-8649-214EC01A3818}"/>
    <cellStyle name="Normal 3 2_CRONOGRAMA" xfId="113" xr:uid="{00000000-0005-0000-0000-000063000000}"/>
    <cellStyle name="Normal 3 3" xfId="65" xr:uid="{00000000-0005-0000-0000-000064000000}"/>
    <cellStyle name="Normal 3 3 2" xfId="148" xr:uid="{94F106F3-1BA4-41F0-AA8A-FA7A1F229E6D}"/>
    <cellStyle name="Normal 3 4" xfId="66" xr:uid="{00000000-0005-0000-0000-000065000000}"/>
    <cellStyle name="Normal 3 5" xfId="67" xr:uid="{00000000-0005-0000-0000-000066000000}"/>
    <cellStyle name="Normal 3 67" xfId="142" xr:uid="{75BEA586-2E1B-4C31-83C7-38801F934AC7}"/>
    <cellStyle name="Normal 3_ADM-INGENIEROS 2" xfId="114" xr:uid="{00000000-0005-0000-0000-000067000000}"/>
    <cellStyle name="Normal 33" xfId="115" xr:uid="{00000000-0005-0000-0000-000068000000}"/>
    <cellStyle name="Normal 4" xfId="68" xr:uid="{00000000-0005-0000-0000-000069000000}"/>
    <cellStyle name="Normal 4 2 2" xfId="116" xr:uid="{00000000-0005-0000-0000-00006A000000}"/>
    <cellStyle name="Normal 4 3 2" xfId="117" xr:uid="{00000000-0005-0000-0000-00006B000000}"/>
    <cellStyle name="Normal 4 3 2 2" xfId="129" xr:uid="{00000000-0005-0000-0000-00006C000000}"/>
    <cellStyle name="Normal 5" xfId="69" xr:uid="{00000000-0005-0000-0000-00006D000000}"/>
    <cellStyle name="Normal 5 2" xfId="118" xr:uid="{00000000-0005-0000-0000-00006E000000}"/>
    <cellStyle name="Normal 5 2 2" xfId="119" xr:uid="{00000000-0005-0000-0000-00006F000000}"/>
    <cellStyle name="Normal 5 3" xfId="120" xr:uid="{00000000-0005-0000-0000-000070000000}"/>
    <cellStyle name="Normal 6" xfId="70" xr:uid="{00000000-0005-0000-0000-000071000000}"/>
    <cellStyle name="Normal 69" xfId="121" xr:uid="{00000000-0005-0000-0000-000072000000}"/>
    <cellStyle name="Normal 7" xfId="71" xr:uid="{00000000-0005-0000-0000-000073000000}"/>
    <cellStyle name="Normal 7 2" xfId="72" xr:uid="{00000000-0005-0000-0000-000074000000}"/>
    <cellStyle name="Normal 8" xfId="73" xr:uid="{00000000-0005-0000-0000-000075000000}"/>
    <cellStyle name="Normal 9" xfId="2" xr:uid="{00000000-0005-0000-0000-000076000000}"/>
    <cellStyle name="Normal 92" xfId="140" xr:uid="{3BA6B8DE-8782-4502-8569-5BF146CC6ABA}"/>
    <cellStyle name="Notas 2" xfId="122" xr:uid="{00000000-0005-0000-0000-000077000000}"/>
    <cellStyle name="Porcentaje" xfId="1" builtinId="5"/>
    <cellStyle name="Porcentaje 2" xfId="74" xr:uid="{00000000-0005-0000-0000-000079000000}"/>
    <cellStyle name="Porcentaje 2 2" xfId="82" xr:uid="{00000000-0005-0000-0000-00007A000000}"/>
    <cellStyle name="Porcentaje 2 3" xfId="132" xr:uid="{00000000-0005-0000-0000-00007B000000}"/>
    <cellStyle name="Porcentaje 3" xfId="75" xr:uid="{00000000-0005-0000-0000-00007C000000}"/>
    <cellStyle name="Porcentaje 3 2" xfId="123" xr:uid="{00000000-0005-0000-0000-00007D000000}"/>
    <cellStyle name="Porcentaje 3 2 2" xfId="137" xr:uid="{0520B0F6-4976-467C-AB0E-505D92B327A4}"/>
    <cellStyle name="Porcentaje 4" xfId="76" xr:uid="{00000000-0005-0000-0000-00007E000000}"/>
    <cellStyle name="Porcentaje 5" xfId="77" xr:uid="{00000000-0005-0000-0000-00007F000000}"/>
    <cellStyle name="Porcentaje 6" xfId="138" xr:uid="{DF402828-A2FF-4373-B746-FA2877244555}"/>
    <cellStyle name="Porcentaje 6 2" xfId="175" xr:uid="{AB2E6A9C-CD13-4E04-8F63-292BD5A74860}"/>
    <cellStyle name="Porcentual 2" xfId="78" xr:uid="{00000000-0005-0000-0000-000080000000}"/>
    <cellStyle name="Porcentual 2 2 5" xfId="124" xr:uid="{00000000-0005-0000-0000-000081000000}"/>
    <cellStyle name="Porcentual 2 3 5" xfId="125" xr:uid="{00000000-0005-0000-0000-000082000000}"/>
    <cellStyle name="Porcentual 3" xfId="79" xr:uid="{00000000-0005-0000-0000-000083000000}"/>
    <cellStyle name="Porcentual 3 2" xfId="80" xr:uid="{00000000-0005-0000-0000-000084000000}"/>
    <cellStyle name="Porcentual 3 3" xfId="126" xr:uid="{00000000-0005-0000-0000-000085000000}"/>
    <cellStyle name="Porcentual 9" xfId="127" xr:uid="{00000000-0005-0000-0000-000086000000}"/>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png"/><Relationship Id="rId3" Type="http://schemas.openxmlformats.org/officeDocument/2006/relationships/image" Target="../media/image7.png"/><Relationship Id="rId7" Type="http://schemas.openxmlformats.org/officeDocument/2006/relationships/image" Target="../media/image11.png"/><Relationship Id="rId12" Type="http://schemas.openxmlformats.org/officeDocument/2006/relationships/image" Target="../media/image16.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5" Type="http://schemas.openxmlformats.org/officeDocument/2006/relationships/image" Target="../media/image9.png"/><Relationship Id="rId15" Type="http://schemas.openxmlformats.org/officeDocument/2006/relationships/image" Target="../media/image19.png"/><Relationship Id="rId10" Type="http://schemas.openxmlformats.org/officeDocument/2006/relationships/image" Target="../media/image14.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png"/></Relationships>
</file>

<file path=xl/drawings/_rels/drawing3.xml.rels><?xml version="1.0" encoding="UTF-8" standalone="yes"?>
<Relationships xmlns="http://schemas.openxmlformats.org/package/2006/relationships"><Relationship Id="rId1" Type="http://schemas.openxmlformats.org/officeDocument/2006/relationships/image" Target="../media/image20.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323021</xdr:colOff>
      <xdr:row>1</xdr:row>
      <xdr:rowOff>51352</xdr:rowOff>
    </xdr:from>
    <xdr:to>
      <xdr:col>5</xdr:col>
      <xdr:colOff>1191039</xdr:colOff>
      <xdr:row>6</xdr:row>
      <xdr:rowOff>106747</xdr:rowOff>
    </xdr:to>
    <xdr:pic>
      <xdr:nvPicPr>
        <xdr:cNvPr id="4" name="Imagen 3">
          <a:extLst>
            <a:ext uri="{FF2B5EF4-FFF2-40B4-BE49-F238E27FC236}">
              <a16:creationId xmlns:a16="http://schemas.microsoft.com/office/drawing/2014/main" id="{B896F096-C971-B7CB-874D-6936C8D433A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6361043" y="225287"/>
          <a:ext cx="868018" cy="883656"/>
        </a:xfrm>
        <a:prstGeom prst="rect">
          <a:avLst/>
        </a:prstGeom>
      </xdr:spPr>
    </xdr:pic>
    <xdr:clientData/>
  </xdr:twoCellAnchor>
  <xdr:twoCellAnchor editAs="oneCell">
    <xdr:from>
      <xdr:col>0</xdr:col>
      <xdr:colOff>69753</xdr:colOff>
      <xdr:row>1</xdr:row>
      <xdr:rowOff>50850</xdr:rowOff>
    </xdr:from>
    <xdr:to>
      <xdr:col>1</xdr:col>
      <xdr:colOff>1199417</xdr:colOff>
      <xdr:row>6</xdr:row>
      <xdr:rowOff>132178</xdr:rowOff>
    </xdr:to>
    <xdr:pic>
      <xdr:nvPicPr>
        <xdr:cNvPr id="5" name="Imagen 4">
          <a:extLst>
            <a:ext uri="{FF2B5EF4-FFF2-40B4-BE49-F238E27FC236}">
              <a16:creationId xmlns:a16="http://schemas.microsoft.com/office/drawing/2014/main" id="{C1CA01B8-1D9D-E8B2-E143-2848A04D74F1}"/>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69753" y="234023"/>
          <a:ext cx="1692518" cy="9201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73561</xdr:colOff>
      <xdr:row>97</xdr:row>
      <xdr:rowOff>112544</xdr:rowOff>
    </xdr:from>
    <xdr:to>
      <xdr:col>15</xdr:col>
      <xdr:colOff>439254</xdr:colOff>
      <xdr:row>107</xdr:row>
      <xdr:rowOff>55040</xdr:rowOff>
    </xdr:to>
    <xdr:pic>
      <xdr:nvPicPr>
        <xdr:cNvPr id="2" name="Imagen 1">
          <a:extLst>
            <a:ext uri="{FF2B5EF4-FFF2-40B4-BE49-F238E27FC236}">
              <a16:creationId xmlns:a16="http://schemas.microsoft.com/office/drawing/2014/main" id="{E5E731B1-CBD0-4F95-583B-DD909668A87B}"/>
            </a:ext>
          </a:extLst>
        </xdr:cNvPr>
        <xdr:cNvPicPr>
          <a:picLocks noChangeAspect="1"/>
        </xdr:cNvPicPr>
      </xdr:nvPicPr>
      <xdr:blipFill>
        <a:blip xmlns:r="http://schemas.openxmlformats.org/officeDocument/2006/relationships" r:embed="rId1"/>
        <a:stretch>
          <a:fillRect/>
        </a:stretch>
      </xdr:blipFill>
      <xdr:spPr>
        <a:xfrm>
          <a:off x="6404023" y="18188063"/>
          <a:ext cx="6542289" cy="2279760"/>
        </a:xfrm>
        <a:prstGeom prst="rect">
          <a:avLst/>
        </a:prstGeom>
      </xdr:spPr>
    </xdr:pic>
    <xdr:clientData/>
  </xdr:twoCellAnchor>
  <xdr:twoCellAnchor editAs="oneCell">
    <xdr:from>
      <xdr:col>8</xdr:col>
      <xdr:colOff>846405</xdr:colOff>
      <xdr:row>197</xdr:row>
      <xdr:rowOff>4345</xdr:rowOff>
    </xdr:from>
    <xdr:to>
      <xdr:col>17</xdr:col>
      <xdr:colOff>682237</xdr:colOff>
      <xdr:row>215</xdr:row>
      <xdr:rowOff>73594</xdr:rowOff>
    </xdr:to>
    <xdr:pic>
      <xdr:nvPicPr>
        <xdr:cNvPr id="3" name="Imagen 2">
          <a:extLst>
            <a:ext uri="{FF2B5EF4-FFF2-40B4-BE49-F238E27FC236}">
              <a16:creationId xmlns:a16="http://schemas.microsoft.com/office/drawing/2014/main" id="{66905B67-2256-0B03-7432-C36527CC4D76}"/>
            </a:ext>
          </a:extLst>
        </xdr:cNvPr>
        <xdr:cNvPicPr>
          <a:picLocks noChangeAspect="1"/>
        </xdr:cNvPicPr>
      </xdr:nvPicPr>
      <xdr:blipFill>
        <a:blip xmlns:r="http://schemas.openxmlformats.org/officeDocument/2006/relationships" r:embed="rId2"/>
        <a:stretch>
          <a:fillRect/>
        </a:stretch>
      </xdr:blipFill>
      <xdr:spPr>
        <a:xfrm>
          <a:off x="7176867" y="36697576"/>
          <a:ext cx="7595043" cy="3871961"/>
        </a:xfrm>
        <a:prstGeom prst="rect">
          <a:avLst/>
        </a:prstGeom>
      </xdr:spPr>
    </xdr:pic>
    <xdr:clientData/>
  </xdr:twoCellAnchor>
  <xdr:twoCellAnchor editAs="oneCell">
    <xdr:from>
      <xdr:col>8</xdr:col>
      <xdr:colOff>787790</xdr:colOff>
      <xdr:row>155</xdr:row>
      <xdr:rowOff>135040</xdr:rowOff>
    </xdr:from>
    <xdr:to>
      <xdr:col>15</xdr:col>
      <xdr:colOff>779153</xdr:colOff>
      <xdr:row>172</xdr:row>
      <xdr:rowOff>172004</xdr:rowOff>
    </xdr:to>
    <xdr:pic>
      <xdr:nvPicPr>
        <xdr:cNvPr id="4" name="Imagen 3">
          <a:extLst>
            <a:ext uri="{FF2B5EF4-FFF2-40B4-BE49-F238E27FC236}">
              <a16:creationId xmlns:a16="http://schemas.microsoft.com/office/drawing/2014/main" id="{79DCB0CA-94FE-93F7-78A5-80916A930F55}"/>
            </a:ext>
          </a:extLst>
        </xdr:cNvPr>
        <xdr:cNvPicPr>
          <a:picLocks noChangeAspect="1"/>
        </xdr:cNvPicPr>
      </xdr:nvPicPr>
      <xdr:blipFill>
        <a:blip xmlns:r="http://schemas.openxmlformats.org/officeDocument/2006/relationships" r:embed="rId3"/>
        <a:stretch>
          <a:fillRect/>
        </a:stretch>
      </xdr:blipFill>
      <xdr:spPr>
        <a:xfrm>
          <a:off x="7118252" y="29010444"/>
          <a:ext cx="6183199" cy="3194868"/>
        </a:xfrm>
        <a:prstGeom prst="rect">
          <a:avLst/>
        </a:prstGeom>
      </xdr:spPr>
    </xdr:pic>
    <xdr:clientData/>
  </xdr:twoCellAnchor>
  <xdr:twoCellAnchor editAs="oneCell">
    <xdr:from>
      <xdr:col>8</xdr:col>
      <xdr:colOff>285457</xdr:colOff>
      <xdr:row>356</xdr:row>
      <xdr:rowOff>60755</xdr:rowOff>
    </xdr:from>
    <xdr:to>
      <xdr:col>12</xdr:col>
      <xdr:colOff>322576</xdr:colOff>
      <xdr:row>367</xdr:row>
      <xdr:rowOff>95249</xdr:rowOff>
    </xdr:to>
    <xdr:pic>
      <xdr:nvPicPr>
        <xdr:cNvPr id="5" name="Imagen 4">
          <a:extLst>
            <a:ext uri="{FF2B5EF4-FFF2-40B4-BE49-F238E27FC236}">
              <a16:creationId xmlns:a16="http://schemas.microsoft.com/office/drawing/2014/main" id="{74E871F9-FE32-7B9E-F04A-5A4F02948381}"/>
            </a:ext>
          </a:extLst>
        </xdr:cNvPr>
        <xdr:cNvPicPr>
          <a:picLocks noChangeAspect="1"/>
        </xdr:cNvPicPr>
      </xdr:nvPicPr>
      <xdr:blipFill>
        <a:blip xmlns:r="http://schemas.openxmlformats.org/officeDocument/2006/relationships" r:embed="rId4"/>
        <a:stretch>
          <a:fillRect/>
        </a:stretch>
      </xdr:blipFill>
      <xdr:spPr>
        <a:xfrm>
          <a:off x="6615919" y="66391390"/>
          <a:ext cx="3858842" cy="2089549"/>
        </a:xfrm>
        <a:prstGeom prst="rect">
          <a:avLst/>
        </a:prstGeom>
      </xdr:spPr>
    </xdr:pic>
    <xdr:clientData/>
  </xdr:twoCellAnchor>
  <xdr:twoCellAnchor editAs="oneCell">
    <xdr:from>
      <xdr:col>8</xdr:col>
      <xdr:colOff>285436</xdr:colOff>
      <xdr:row>345</xdr:row>
      <xdr:rowOff>95250</xdr:rowOff>
    </xdr:from>
    <xdr:to>
      <xdr:col>12</xdr:col>
      <xdr:colOff>135948</xdr:colOff>
      <xdr:row>355</xdr:row>
      <xdr:rowOff>113128</xdr:rowOff>
    </xdr:to>
    <xdr:pic>
      <xdr:nvPicPr>
        <xdr:cNvPr id="6" name="Imagen 5">
          <a:extLst>
            <a:ext uri="{FF2B5EF4-FFF2-40B4-BE49-F238E27FC236}">
              <a16:creationId xmlns:a16="http://schemas.microsoft.com/office/drawing/2014/main" id="{F28067B0-A904-6ADB-1C6C-067270DF493A}"/>
            </a:ext>
          </a:extLst>
        </xdr:cNvPr>
        <xdr:cNvPicPr>
          <a:picLocks noChangeAspect="1"/>
        </xdr:cNvPicPr>
      </xdr:nvPicPr>
      <xdr:blipFill>
        <a:blip xmlns:r="http://schemas.openxmlformats.org/officeDocument/2006/relationships" r:embed="rId5"/>
        <a:stretch>
          <a:fillRect/>
        </a:stretch>
      </xdr:blipFill>
      <xdr:spPr>
        <a:xfrm>
          <a:off x="6615898" y="64381673"/>
          <a:ext cx="3645565" cy="1875692"/>
        </a:xfrm>
        <a:prstGeom prst="rect">
          <a:avLst/>
        </a:prstGeom>
      </xdr:spPr>
    </xdr:pic>
    <xdr:clientData/>
  </xdr:twoCellAnchor>
  <xdr:twoCellAnchor editAs="oneCell">
    <xdr:from>
      <xdr:col>8</xdr:col>
      <xdr:colOff>325900</xdr:colOff>
      <xdr:row>367</xdr:row>
      <xdr:rowOff>166107</xdr:rowOff>
    </xdr:from>
    <xdr:to>
      <xdr:col>12</xdr:col>
      <xdr:colOff>34594</xdr:colOff>
      <xdr:row>373</xdr:row>
      <xdr:rowOff>174558</xdr:rowOff>
    </xdr:to>
    <xdr:pic>
      <xdr:nvPicPr>
        <xdr:cNvPr id="7" name="Imagen 6">
          <a:extLst>
            <a:ext uri="{FF2B5EF4-FFF2-40B4-BE49-F238E27FC236}">
              <a16:creationId xmlns:a16="http://schemas.microsoft.com/office/drawing/2014/main" id="{9C735F0E-6F72-6296-9DFE-D3D4C5CA6E4C}"/>
            </a:ext>
          </a:extLst>
        </xdr:cNvPr>
        <xdr:cNvPicPr>
          <a:picLocks noChangeAspect="1"/>
        </xdr:cNvPicPr>
      </xdr:nvPicPr>
      <xdr:blipFill>
        <a:blip xmlns:r="http://schemas.openxmlformats.org/officeDocument/2006/relationships" r:embed="rId6"/>
        <a:stretch>
          <a:fillRect/>
        </a:stretch>
      </xdr:blipFill>
      <xdr:spPr>
        <a:xfrm>
          <a:off x="6656362" y="68540953"/>
          <a:ext cx="3503747" cy="1118627"/>
        </a:xfrm>
        <a:prstGeom prst="rect">
          <a:avLst/>
        </a:prstGeom>
      </xdr:spPr>
    </xdr:pic>
    <xdr:clientData/>
  </xdr:twoCellAnchor>
  <xdr:twoCellAnchor editAs="oneCell">
    <xdr:from>
      <xdr:col>9</xdr:col>
      <xdr:colOff>511754</xdr:colOff>
      <xdr:row>111</xdr:row>
      <xdr:rowOff>133790</xdr:rowOff>
    </xdr:from>
    <xdr:to>
      <xdr:col>12</xdr:col>
      <xdr:colOff>778368</xdr:colOff>
      <xdr:row>132</xdr:row>
      <xdr:rowOff>134483</xdr:rowOff>
    </xdr:to>
    <xdr:pic>
      <xdr:nvPicPr>
        <xdr:cNvPr id="8" name="Imagen 7">
          <a:extLst>
            <a:ext uri="{FF2B5EF4-FFF2-40B4-BE49-F238E27FC236}">
              <a16:creationId xmlns:a16="http://schemas.microsoft.com/office/drawing/2014/main" id="{DD4547E3-7F82-6B5C-9E77-1E5050F6FC76}"/>
            </a:ext>
          </a:extLst>
        </xdr:cNvPr>
        <xdr:cNvPicPr>
          <a:picLocks noChangeAspect="1"/>
        </xdr:cNvPicPr>
      </xdr:nvPicPr>
      <xdr:blipFill>
        <a:blip xmlns:r="http://schemas.openxmlformats.org/officeDocument/2006/relationships" r:embed="rId7"/>
        <a:stretch>
          <a:fillRect/>
        </a:stretch>
      </xdr:blipFill>
      <xdr:spPr>
        <a:xfrm>
          <a:off x="8117100" y="20795713"/>
          <a:ext cx="2790593" cy="3885281"/>
        </a:xfrm>
        <a:prstGeom prst="rect">
          <a:avLst/>
        </a:prstGeom>
      </xdr:spPr>
    </xdr:pic>
    <xdr:clientData/>
  </xdr:twoCellAnchor>
  <xdr:twoCellAnchor editAs="oneCell">
    <xdr:from>
      <xdr:col>8</xdr:col>
      <xdr:colOff>1071624</xdr:colOff>
      <xdr:row>393</xdr:row>
      <xdr:rowOff>115325</xdr:rowOff>
    </xdr:from>
    <xdr:to>
      <xdr:col>15</xdr:col>
      <xdr:colOff>438544</xdr:colOff>
      <xdr:row>407</xdr:row>
      <xdr:rowOff>92861</xdr:rowOff>
    </xdr:to>
    <xdr:pic>
      <xdr:nvPicPr>
        <xdr:cNvPr id="10" name="Imagen 9">
          <a:extLst>
            <a:ext uri="{FF2B5EF4-FFF2-40B4-BE49-F238E27FC236}">
              <a16:creationId xmlns:a16="http://schemas.microsoft.com/office/drawing/2014/main" id="{ED7A3B88-66DD-4BB1-41C6-09ED8B007ED8}"/>
            </a:ext>
          </a:extLst>
        </xdr:cNvPr>
        <xdr:cNvPicPr>
          <a:picLocks noChangeAspect="1"/>
        </xdr:cNvPicPr>
      </xdr:nvPicPr>
      <xdr:blipFill>
        <a:blip xmlns:r="http://schemas.openxmlformats.org/officeDocument/2006/relationships" r:embed="rId8"/>
        <a:stretch>
          <a:fillRect/>
        </a:stretch>
      </xdr:blipFill>
      <xdr:spPr>
        <a:xfrm>
          <a:off x="7402086" y="73318613"/>
          <a:ext cx="5543516" cy="2559837"/>
        </a:xfrm>
        <a:prstGeom prst="rect">
          <a:avLst/>
        </a:prstGeom>
      </xdr:spPr>
    </xdr:pic>
    <xdr:clientData/>
  </xdr:twoCellAnchor>
  <xdr:twoCellAnchor editAs="oneCell">
    <xdr:from>
      <xdr:col>8</xdr:col>
      <xdr:colOff>388325</xdr:colOff>
      <xdr:row>743</xdr:row>
      <xdr:rowOff>103503</xdr:rowOff>
    </xdr:from>
    <xdr:to>
      <xdr:col>14</xdr:col>
      <xdr:colOff>723009</xdr:colOff>
      <xdr:row>755</xdr:row>
      <xdr:rowOff>22426</xdr:rowOff>
    </xdr:to>
    <xdr:pic>
      <xdr:nvPicPr>
        <xdr:cNvPr id="11" name="Imagen 10">
          <a:extLst>
            <a:ext uri="{FF2B5EF4-FFF2-40B4-BE49-F238E27FC236}">
              <a16:creationId xmlns:a16="http://schemas.microsoft.com/office/drawing/2014/main" id="{55072F3A-278F-F752-29F7-036ED3640432}"/>
            </a:ext>
          </a:extLst>
        </xdr:cNvPr>
        <xdr:cNvPicPr>
          <a:picLocks noChangeAspect="1"/>
        </xdr:cNvPicPr>
      </xdr:nvPicPr>
      <xdr:blipFill>
        <a:blip xmlns:r="http://schemas.openxmlformats.org/officeDocument/2006/relationships" r:embed="rId9"/>
        <a:stretch>
          <a:fillRect/>
        </a:stretch>
      </xdr:blipFill>
      <xdr:spPr>
        <a:xfrm>
          <a:off x="6718787" y="136735965"/>
          <a:ext cx="5716162" cy="2165064"/>
        </a:xfrm>
        <a:prstGeom prst="rect">
          <a:avLst/>
        </a:prstGeom>
      </xdr:spPr>
    </xdr:pic>
    <xdr:clientData/>
  </xdr:twoCellAnchor>
  <xdr:twoCellAnchor editAs="oneCell">
    <xdr:from>
      <xdr:col>9</xdr:col>
      <xdr:colOff>113878</xdr:colOff>
      <xdr:row>990</xdr:row>
      <xdr:rowOff>136331</xdr:rowOff>
    </xdr:from>
    <xdr:to>
      <xdr:col>13</xdr:col>
      <xdr:colOff>742069</xdr:colOff>
      <xdr:row>1001</xdr:row>
      <xdr:rowOff>173704</xdr:rowOff>
    </xdr:to>
    <xdr:pic>
      <xdr:nvPicPr>
        <xdr:cNvPr id="12" name="Imagen 11">
          <a:extLst>
            <a:ext uri="{FF2B5EF4-FFF2-40B4-BE49-F238E27FC236}">
              <a16:creationId xmlns:a16="http://schemas.microsoft.com/office/drawing/2014/main" id="{FF72F091-F0AE-2FF6-2444-7C2B725D1776}"/>
            </a:ext>
          </a:extLst>
        </xdr:cNvPr>
        <xdr:cNvPicPr>
          <a:picLocks noChangeAspect="1"/>
        </xdr:cNvPicPr>
      </xdr:nvPicPr>
      <xdr:blipFill>
        <a:blip xmlns:r="http://schemas.openxmlformats.org/officeDocument/2006/relationships" r:embed="rId10"/>
        <a:stretch>
          <a:fillRect/>
        </a:stretch>
      </xdr:blipFill>
      <xdr:spPr>
        <a:xfrm>
          <a:off x="7684182" y="182287461"/>
          <a:ext cx="3929129" cy="2099079"/>
        </a:xfrm>
        <a:prstGeom prst="rect">
          <a:avLst/>
        </a:prstGeom>
      </xdr:spPr>
    </xdr:pic>
    <xdr:clientData/>
  </xdr:twoCellAnchor>
  <xdr:twoCellAnchor editAs="oneCell">
    <xdr:from>
      <xdr:col>8</xdr:col>
      <xdr:colOff>637106</xdr:colOff>
      <xdr:row>979</xdr:row>
      <xdr:rowOff>37603</xdr:rowOff>
    </xdr:from>
    <xdr:to>
      <xdr:col>12</xdr:col>
      <xdr:colOff>705725</xdr:colOff>
      <xdr:row>989</xdr:row>
      <xdr:rowOff>131549</xdr:rowOff>
    </xdr:to>
    <xdr:pic>
      <xdr:nvPicPr>
        <xdr:cNvPr id="13" name="Imagen 12">
          <a:extLst>
            <a:ext uri="{FF2B5EF4-FFF2-40B4-BE49-F238E27FC236}">
              <a16:creationId xmlns:a16="http://schemas.microsoft.com/office/drawing/2014/main" id="{9AEA961E-E982-0137-CA87-F46BCB0DFEBA}"/>
            </a:ext>
          </a:extLst>
        </xdr:cNvPr>
        <xdr:cNvPicPr>
          <a:picLocks noChangeAspect="1"/>
        </xdr:cNvPicPr>
      </xdr:nvPicPr>
      <xdr:blipFill>
        <a:blip xmlns:r="http://schemas.openxmlformats.org/officeDocument/2006/relationships" r:embed="rId11"/>
        <a:stretch>
          <a:fillRect/>
        </a:stretch>
      </xdr:blipFill>
      <xdr:spPr>
        <a:xfrm>
          <a:off x="6931889" y="180159494"/>
          <a:ext cx="3862691" cy="1950494"/>
        </a:xfrm>
        <a:prstGeom prst="rect">
          <a:avLst/>
        </a:prstGeom>
      </xdr:spPr>
    </xdr:pic>
    <xdr:clientData/>
  </xdr:twoCellAnchor>
  <xdr:twoCellAnchor editAs="oneCell">
    <xdr:from>
      <xdr:col>9</xdr:col>
      <xdr:colOff>53200</xdr:colOff>
      <xdr:row>1271</xdr:row>
      <xdr:rowOff>91212</xdr:rowOff>
    </xdr:from>
    <xdr:to>
      <xdr:col>15</xdr:col>
      <xdr:colOff>361399</xdr:colOff>
      <xdr:row>1281</xdr:row>
      <xdr:rowOff>130562</xdr:rowOff>
    </xdr:to>
    <xdr:pic>
      <xdr:nvPicPr>
        <xdr:cNvPr id="14" name="Imagen 13">
          <a:extLst>
            <a:ext uri="{FF2B5EF4-FFF2-40B4-BE49-F238E27FC236}">
              <a16:creationId xmlns:a16="http://schemas.microsoft.com/office/drawing/2014/main" id="{45005572-2EC0-B0C9-32E6-40D360019474}"/>
            </a:ext>
          </a:extLst>
        </xdr:cNvPr>
        <xdr:cNvPicPr>
          <a:picLocks noChangeAspect="1"/>
        </xdr:cNvPicPr>
      </xdr:nvPicPr>
      <xdr:blipFill>
        <a:blip xmlns:r="http://schemas.openxmlformats.org/officeDocument/2006/relationships" r:embed="rId12"/>
        <a:stretch>
          <a:fillRect/>
        </a:stretch>
      </xdr:blipFill>
      <xdr:spPr>
        <a:xfrm>
          <a:off x="7658546" y="236890039"/>
          <a:ext cx="5213721" cy="1892767"/>
        </a:xfrm>
        <a:prstGeom prst="rect">
          <a:avLst/>
        </a:prstGeom>
      </xdr:spPr>
    </xdr:pic>
    <xdr:clientData/>
  </xdr:twoCellAnchor>
  <xdr:twoCellAnchor editAs="oneCell">
    <xdr:from>
      <xdr:col>8</xdr:col>
      <xdr:colOff>977347</xdr:colOff>
      <xdr:row>1461</xdr:row>
      <xdr:rowOff>65505</xdr:rowOff>
    </xdr:from>
    <xdr:to>
      <xdr:col>18</xdr:col>
      <xdr:colOff>267088</xdr:colOff>
      <xdr:row>1475</xdr:row>
      <xdr:rowOff>59039</xdr:rowOff>
    </xdr:to>
    <xdr:pic>
      <xdr:nvPicPr>
        <xdr:cNvPr id="15" name="Imagen 14">
          <a:extLst>
            <a:ext uri="{FF2B5EF4-FFF2-40B4-BE49-F238E27FC236}">
              <a16:creationId xmlns:a16="http://schemas.microsoft.com/office/drawing/2014/main" id="{FB823AEF-BCEC-E0A1-8D33-70E4C69A1E01}"/>
            </a:ext>
          </a:extLst>
        </xdr:cNvPr>
        <xdr:cNvPicPr>
          <a:picLocks noChangeAspect="1"/>
        </xdr:cNvPicPr>
      </xdr:nvPicPr>
      <xdr:blipFill>
        <a:blip xmlns:r="http://schemas.openxmlformats.org/officeDocument/2006/relationships" r:embed="rId13"/>
        <a:stretch>
          <a:fillRect/>
        </a:stretch>
      </xdr:blipFill>
      <xdr:spPr>
        <a:xfrm>
          <a:off x="7272130" y="269755527"/>
          <a:ext cx="7801090" cy="2605124"/>
        </a:xfrm>
        <a:prstGeom prst="rect">
          <a:avLst/>
        </a:prstGeom>
      </xdr:spPr>
    </xdr:pic>
    <xdr:clientData/>
  </xdr:twoCellAnchor>
  <xdr:twoCellAnchor editAs="oneCell">
    <xdr:from>
      <xdr:col>8</xdr:col>
      <xdr:colOff>517738</xdr:colOff>
      <xdr:row>695</xdr:row>
      <xdr:rowOff>14654</xdr:rowOff>
    </xdr:from>
    <xdr:to>
      <xdr:col>13</xdr:col>
      <xdr:colOff>645240</xdr:colOff>
      <xdr:row>707</xdr:row>
      <xdr:rowOff>98097</xdr:rowOff>
    </xdr:to>
    <xdr:pic>
      <xdr:nvPicPr>
        <xdr:cNvPr id="16" name="Imagen 15">
          <a:extLst>
            <a:ext uri="{FF2B5EF4-FFF2-40B4-BE49-F238E27FC236}">
              <a16:creationId xmlns:a16="http://schemas.microsoft.com/office/drawing/2014/main" id="{108CB973-EC87-2A72-3C36-412BD25FFF2B}"/>
            </a:ext>
          </a:extLst>
        </xdr:cNvPr>
        <xdr:cNvPicPr>
          <a:picLocks noChangeAspect="1"/>
        </xdr:cNvPicPr>
      </xdr:nvPicPr>
      <xdr:blipFill>
        <a:blip xmlns:r="http://schemas.openxmlformats.org/officeDocument/2006/relationships" r:embed="rId14"/>
        <a:stretch>
          <a:fillRect/>
        </a:stretch>
      </xdr:blipFill>
      <xdr:spPr>
        <a:xfrm>
          <a:off x="6848200" y="129474058"/>
          <a:ext cx="4729102" cy="2323870"/>
        </a:xfrm>
        <a:prstGeom prst="rect">
          <a:avLst/>
        </a:prstGeom>
      </xdr:spPr>
    </xdr:pic>
    <xdr:clientData/>
  </xdr:twoCellAnchor>
  <xdr:twoCellAnchor editAs="oneCell">
    <xdr:from>
      <xdr:col>8</xdr:col>
      <xdr:colOff>662840</xdr:colOff>
      <xdr:row>592</xdr:row>
      <xdr:rowOff>82501</xdr:rowOff>
    </xdr:from>
    <xdr:to>
      <xdr:col>12</xdr:col>
      <xdr:colOff>475288</xdr:colOff>
      <xdr:row>613</xdr:row>
      <xdr:rowOff>20788</xdr:rowOff>
    </xdr:to>
    <xdr:pic>
      <xdr:nvPicPr>
        <xdr:cNvPr id="18" name="Imagen 17">
          <a:extLst>
            <a:ext uri="{FF2B5EF4-FFF2-40B4-BE49-F238E27FC236}">
              <a16:creationId xmlns:a16="http://schemas.microsoft.com/office/drawing/2014/main" id="{3A140DF7-DCAF-F3B0-95A4-654524D33527}"/>
            </a:ext>
          </a:extLst>
        </xdr:cNvPr>
        <xdr:cNvPicPr>
          <a:picLocks noChangeAspect="1"/>
        </xdr:cNvPicPr>
      </xdr:nvPicPr>
      <xdr:blipFill>
        <a:blip xmlns:r="http://schemas.openxmlformats.org/officeDocument/2006/relationships" r:embed="rId15"/>
        <a:stretch>
          <a:fillRect/>
        </a:stretch>
      </xdr:blipFill>
      <xdr:spPr>
        <a:xfrm>
          <a:off x="6993302" y="110338039"/>
          <a:ext cx="3618931" cy="3863320"/>
        </a:xfrm>
        <a:prstGeom prst="rect">
          <a:avLst/>
        </a:prstGeom>
      </xdr:spPr>
    </xdr:pic>
    <xdr:clientData/>
  </xdr:twoCellAnchor>
  <xdr:twoCellAnchor editAs="oneCell">
    <xdr:from>
      <xdr:col>8</xdr:col>
      <xdr:colOff>959826</xdr:colOff>
      <xdr:row>543</xdr:row>
      <xdr:rowOff>18464</xdr:rowOff>
    </xdr:from>
    <xdr:to>
      <xdr:col>12</xdr:col>
      <xdr:colOff>764654</xdr:colOff>
      <xdr:row>563</xdr:row>
      <xdr:rowOff>170259</xdr:rowOff>
    </xdr:to>
    <xdr:pic>
      <xdr:nvPicPr>
        <xdr:cNvPr id="19" name="Imagen 18">
          <a:extLst>
            <a:ext uri="{FF2B5EF4-FFF2-40B4-BE49-F238E27FC236}">
              <a16:creationId xmlns:a16="http://schemas.microsoft.com/office/drawing/2014/main" id="{5B1A988B-AA56-4D95-B687-AFCED538C1F5}"/>
            </a:ext>
          </a:extLst>
        </xdr:cNvPr>
        <xdr:cNvPicPr>
          <a:picLocks noChangeAspect="1"/>
        </xdr:cNvPicPr>
      </xdr:nvPicPr>
      <xdr:blipFill>
        <a:blip xmlns:r="http://schemas.openxmlformats.org/officeDocument/2006/relationships" r:embed="rId15"/>
        <a:stretch>
          <a:fillRect/>
        </a:stretch>
      </xdr:blipFill>
      <xdr:spPr>
        <a:xfrm>
          <a:off x="7290288" y="101166637"/>
          <a:ext cx="3607501" cy="3861415"/>
        </a:xfrm>
        <a:prstGeom prst="rect">
          <a:avLst/>
        </a:prstGeom>
      </xdr:spPr>
    </xdr:pic>
    <xdr:clientData/>
  </xdr:twoCellAnchor>
  <xdr:twoCellAnchor editAs="oneCell">
    <xdr:from>
      <xdr:col>8</xdr:col>
      <xdr:colOff>674077</xdr:colOff>
      <xdr:row>491</xdr:row>
      <xdr:rowOff>109903</xdr:rowOff>
    </xdr:from>
    <xdr:to>
      <xdr:col>12</xdr:col>
      <xdr:colOff>475095</xdr:colOff>
      <xdr:row>512</xdr:row>
      <xdr:rowOff>75300</xdr:rowOff>
    </xdr:to>
    <xdr:pic>
      <xdr:nvPicPr>
        <xdr:cNvPr id="20" name="Imagen 19">
          <a:extLst>
            <a:ext uri="{FF2B5EF4-FFF2-40B4-BE49-F238E27FC236}">
              <a16:creationId xmlns:a16="http://schemas.microsoft.com/office/drawing/2014/main" id="{958B78EF-B0D4-4A3A-B2EA-5803B43045B6}"/>
            </a:ext>
          </a:extLst>
        </xdr:cNvPr>
        <xdr:cNvPicPr>
          <a:picLocks noChangeAspect="1"/>
        </xdr:cNvPicPr>
      </xdr:nvPicPr>
      <xdr:blipFill>
        <a:blip xmlns:r="http://schemas.openxmlformats.org/officeDocument/2006/relationships" r:embed="rId15"/>
        <a:stretch>
          <a:fillRect/>
        </a:stretch>
      </xdr:blipFill>
      <xdr:spPr>
        <a:xfrm>
          <a:off x="7004539" y="91579211"/>
          <a:ext cx="3607501" cy="3863320"/>
        </a:xfrm>
        <a:prstGeom prst="rect">
          <a:avLst/>
        </a:prstGeom>
      </xdr:spPr>
    </xdr:pic>
    <xdr:clientData/>
  </xdr:twoCellAnchor>
  <xdr:twoCellAnchor editAs="oneCell">
    <xdr:from>
      <xdr:col>8</xdr:col>
      <xdr:colOff>937845</xdr:colOff>
      <xdr:row>642</xdr:row>
      <xdr:rowOff>159287</xdr:rowOff>
    </xdr:from>
    <xdr:to>
      <xdr:col>12</xdr:col>
      <xdr:colOff>746483</xdr:colOff>
      <xdr:row>663</xdr:row>
      <xdr:rowOff>117358</xdr:rowOff>
    </xdr:to>
    <xdr:pic>
      <xdr:nvPicPr>
        <xdr:cNvPr id="21" name="Imagen 20">
          <a:extLst>
            <a:ext uri="{FF2B5EF4-FFF2-40B4-BE49-F238E27FC236}">
              <a16:creationId xmlns:a16="http://schemas.microsoft.com/office/drawing/2014/main" id="{46D8DA45-49B2-4B33-B23B-72001AA12EEF}"/>
            </a:ext>
          </a:extLst>
        </xdr:cNvPr>
        <xdr:cNvPicPr>
          <a:picLocks noChangeAspect="1"/>
        </xdr:cNvPicPr>
      </xdr:nvPicPr>
      <xdr:blipFill>
        <a:blip xmlns:r="http://schemas.openxmlformats.org/officeDocument/2006/relationships" r:embed="rId15"/>
        <a:stretch>
          <a:fillRect/>
        </a:stretch>
      </xdr:blipFill>
      <xdr:spPr>
        <a:xfrm>
          <a:off x="7268307" y="119756652"/>
          <a:ext cx="3607501" cy="38633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207066</xdr:colOff>
      <xdr:row>290</xdr:row>
      <xdr:rowOff>115956</xdr:rowOff>
    </xdr:from>
    <xdr:to>
      <xdr:col>15</xdr:col>
      <xdr:colOff>973719</xdr:colOff>
      <xdr:row>307</xdr:row>
      <xdr:rowOff>135595</xdr:rowOff>
    </xdr:to>
    <xdr:pic>
      <xdr:nvPicPr>
        <xdr:cNvPr id="2" name="Imagen 1">
          <a:extLst>
            <a:ext uri="{FF2B5EF4-FFF2-40B4-BE49-F238E27FC236}">
              <a16:creationId xmlns:a16="http://schemas.microsoft.com/office/drawing/2014/main" id="{B06B30F1-AB7B-22C0-833A-9C575144CD8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6485283" y="50722695"/>
          <a:ext cx="6791914" cy="35550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47871</xdr:colOff>
      <xdr:row>1</xdr:row>
      <xdr:rowOff>53341</xdr:rowOff>
    </xdr:from>
    <xdr:to>
      <xdr:col>8</xdr:col>
      <xdr:colOff>1047750</xdr:colOff>
      <xdr:row>6</xdr:row>
      <xdr:rowOff>116206</xdr:rowOff>
    </xdr:to>
    <xdr:pic>
      <xdr:nvPicPr>
        <xdr:cNvPr id="4" name="Imagen 3">
          <a:extLst>
            <a:ext uri="{FF2B5EF4-FFF2-40B4-BE49-F238E27FC236}">
              <a16:creationId xmlns:a16="http://schemas.microsoft.com/office/drawing/2014/main" id="{670E3A96-B3C4-4953-AE3F-1C50E64E14A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8239371" y="139066"/>
          <a:ext cx="990354" cy="967740"/>
        </a:xfrm>
        <a:prstGeom prst="rect">
          <a:avLst/>
        </a:prstGeom>
      </xdr:spPr>
    </xdr:pic>
    <xdr:clientData/>
  </xdr:twoCellAnchor>
  <xdr:twoCellAnchor editAs="oneCell">
    <xdr:from>
      <xdr:col>1</xdr:col>
      <xdr:colOff>69753</xdr:colOff>
      <xdr:row>1</xdr:row>
      <xdr:rowOff>54661</xdr:rowOff>
    </xdr:from>
    <xdr:to>
      <xdr:col>3</xdr:col>
      <xdr:colOff>8498</xdr:colOff>
      <xdr:row>6</xdr:row>
      <xdr:rowOff>54930</xdr:rowOff>
    </xdr:to>
    <xdr:pic>
      <xdr:nvPicPr>
        <xdr:cNvPr id="5" name="Imagen 4">
          <a:extLst>
            <a:ext uri="{FF2B5EF4-FFF2-40B4-BE49-F238E27FC236}">
              <a16:creationId xmlns:a16="http://schemas.microsoft.com/office/drawing/2014/main" id="{7B545492-D3F7-4F1B-A7D3-EF169FB1F904}"/>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65003" y="140386"/>
          <a:ext cx="1670684" cy="89942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areametro-my.sharepoint.com/personal/edier_lopez_metropol_gov_co/Documents/Documentos/1.%20Proyectos/COPACABANA/Remodelaci&#243;n%20Parque/Entregado%20por%20Mpio/PRESUPUESTO%20PARQUE%20COPACABANA%20(V_Entidad)%20-%20v12%20AMVA%20definitivo%20sin%20impuestos.xlsx" TargetMode="External"/><Relationship Id="rId1" Type="http://schemas.openxmlformats.org/officeDocument/2006/relationships/externalLinkPath" Target="https://areametro-my.sharepoint.com/personal/edier_lopez_metropol_gov_co/Documents/Documentos/1.%20Proyectos/COPACABANA/PRESUPUESTO%20PARQUE%20COPACABANA%20(V_Entidad)%20-%20v12%20AMVA%20definitivo%20sin%20impues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ULO AU"/>
      <sheetName val="INTERVENTORÍA"/>
      <sheetName val="PRESUPUESTO"/>
      <sheetName val="FACTOR MULTIPLICADOR"/>
      <sheetName val="MEMORIAS CANT"/>
      <sheetName val="1. APU PRELIMINARES"/>
      <sheetName val="2. APU EXCAVACIONES"/>
      <sheetName val="3. APU CONCRETOS"/>
      <sheetName val="4. APU ACEROS"/>
      <sheetName val="5. APU MAMPOSTERIA"/>
      <sheetName val="6. APU ELECTRICOS"/>
      <sheetName val="7. APU HIDROSANITARIO"/>
      <sheetName val="8. APU CUBIERTAS"/>
      <sheetName val="9. APU PISOS"/>
      <sheetName val="10. APU PINTURA"/>
      <sheetName val="11. APU APARATOS"/>
      <sheetName val="12. APU EXTERIORES"/>
      <sheetName val="13. APU AMOBLAMIENTO"/>
      <sheetName val="14. APU CARP. METAL"/>
      <sheetName val="15. ANEXO SST-PMT-PMA"/>
      <sheetName val="APA"/>
      <sheetName val="PERSONAL"/>
      <sheetName val="MATERIALES"/>
    </sheetNames>
    <sheetDataSet>
      <sheetData sheetId="0" refreshError="1">
        <row r="44">
          <cell r="H44">
            <v>0</v>
          </cell>
        </row>
        <row r="46">
          <cell r="H46">
            <v>0</v>
          </cell>
        </row>
        <row r="47">
          <cell r="H47">
            <v>0</v>
          </cell>
        </row>
        <row r="48">
          <cell r="H48">
            <v>0</v>
          </cell>
        </row>
        <row r="49">
          <cell r="H49">
            <v>361132286</v>
          </cell>
        </row>
        <row r="50">
          <cell r="H50">
            <v>14445291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4"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7" Type="http://schemas.openxmlformats.org/officeDocument/2006/relationships/printerSettings" Target="../printerSettings/printerSettings6.bin"/><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6" Type="http://schemas.openxmlformats.org/officeDocument/2006/relationships/hyperlink" Target="file:///F:\SECOP%20W.%20CAFE\14.%20Municipio%20de%20Copacabana\2.%20Parque%20Ppal%20Copacabana\AppData\Roaming\Microsoft\Excel\PRESUPUESTO%20PARQUE%20COPACABANA\PRESUPUESTO%20COPACABANA.xlsx" TargetMode="External"/><Relationship Id="rId5" Type="http://schemas.openxmlformats.org/officeDocument/2006/relationships/hyperlink" Target="file:///F:\SECOP%20W.%20CAFE\14.%20Municipio%20de%20Copacabana\2.%20Parque%20Ppal%20Copacabana\AppData\Roaming\Microsoft\Excel\PRESUPUESTO%20PARQUE%20COPACABANA\PRESUPUESTO%20COPACABANA.xlsx" TargetMode="External"/><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file:///F:\SECOP%20W.%20CAFE\14.%20Municipio%20de%20Copacabana\2.%20Parque%20Ppal%20Copacabana\AppData\Roaming\Microsoft\Excel\PRESUPUESTO%20PARQUE%20COPACABANA\PRESUPUESTO%20COPACABANA.xlsx" TargetMode="External"/><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7" Type="http://schemas.openxmlformats.org/officeDocument/2006/relationships/hyperlink" Target="file:///F:\SECOP%20W.%20CAFE\14.%20Municipio%20de%20Copacabana\2.%20Parque%20Ppal%20Copacabana\AppData\Roaming\Microsoft\Excel\PRESUPUESTO%20PARQUE%20COPACABANA\PRESUPUESTO%20COPACABANA.xlsx" TargetMode="External"/><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6" Type="http://schemas.openxmlformats.org/officeDocument/2006/relationships/hyperlink" Target="file:///F:\SECOP%20W.%20CAFE\14.%20Municipio%20de%20Copacabana\2.%20Parque%20Ppal%20Copacabana\AppData\Roaming\Microsoft\Excel\PRESUPUESTO%20PARQUE%20COPACABANA\PRESUPUESTO%20COPACABANA.xlsx" TargetMode="External"/><Relationship Id="rId5" Type="http://schemas.openxmlformats.org/officeDocument/2006/relationships/hyperlink" Target="file:///F:\SECOP%20W.%20CAFE\14.%20Municipio%20de%20Copacabana\2.%20Parque%20Ppal%20Copacabana\AppData\Roaming\Microsoft\Excel\PRESUPUESTO%20PARQUE%20COPACABANA\PRESUPUESTO%20COPACABANA.xlsx" TargetMode="External"/><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 Id="rId9"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4"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file:///F:\SECOP%20W.%20CAFE\14.%20Municipio%20de%20Copacabana\2.%20Parque%20Ppal%20Copacabana\AppData\Roaming\Microsoft\Excel\PRESUPUESTO%20PARQUE%20COPACABANA\PRESUPUESTO%20COPACABANA.xlsx" TargetMode="External"/><Relationship Id="rId18" Type="http://schemas.openxmlformats.org/officeDocument/2006/relationships/hyperlink" Target="file:///F:\SECOP%20W.%20CAFE\14.%20Municipio%20de%20Copacabana\2.%20Parque%20Ppal%20Copacabana\AppData\Roaming\Microsoft\Excel\PRESUPUESTO%20PARQUE%20COPACABANA\PRESUPUESTO%20COPACABANA.xlsx" TargetMode="External"/><Relationship Id="rId26" Type="http://schemas.openxmlformats.org/officeDocument/2006/relationships/hyperlink" Target="file:///F:\SECOP%20W.%20CAFE\14.%20Municipio%20de%20Copacabana\2.%20Parque%20Ppal%20Copacabana\AppData\Roaming\Microsoft\Excel\PRESUPUESTO%20PARQUE%20COPACABANA\PRESUPUESTO%20COPACABANA.xlsx" TargetMode="External"/><Relationship Id="rId39" Type="http://schemas.openxmlformats.org/officeDocument/2006/relationships/hyperlink" Target="file:///F:\SECOP%20W.%20CAFE\14.%20Municipio%20de%20Copacabana\2.%20Parque%20Ppal%20Copacabana\AppData\Roaming\Microsoft\Excel\PRESUPUESTO%20PARQUE%20COPACABANA\PRESUPUESTO%20COPACABANA.xlsx" TargetMode="External"/><Relationship Id="rId21" Type="http://schemas.openxmlformats.org/officeDocument/2006/relationships/hyperlink" Target="file:///F:\SECOP%20W.%20CAFE\14.%20Municipio%20de%20Copacabana\2.%20Parque%20Ppal%20Copacabana\AppData\Roaming\Microsoft\Excel\PRESUPUESTO%20PARQUE%20COPACABANA\PRESUPUESTO%20COPACABANA.xlsx" TargetMode="External"/><Relationship Id="rId34" Type="http://schemas.openxmlformats.org/officeDocument/2006/relationships/hyperlink" Target="file:///F:\SECOP%20W.%20CAFE\14.%20Municipio%20de%20Copacabana\2.%20Parque%20Ppal%20Copacabana\AppData\Roaming\Microsoft\Excel\PRESUPUESTO%20PARQUE%20COPACABANA\PRESUPUESTO%20COPACABANA.xlsx" TargetMode="External"/><Relationship Id="rId42" Type="http://schemas.openxmlformats.org/officeDocument/2006/relationships/printerSettings" Target="../printerSettings/printerSettings10.bin"/><Relationship Id="rId7" Type="http://schemas.openxmlformats.org/officeDocument/2006/relationships/hyperlink" Target="file:///F:\SECOP%20W.%20CAFE\14.%20Municipio%20de%20Copacabana\2.%20Parque%20Ppal%20Copacabana\AppData\Roaming\Microsoft\Excel\PRESUPUESTO%20PARQUE%20COPACABANA\PRESUPUESTO%20COPACABANA.xlsx" TargetMode="External"/><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6" Type="http://schemas.openxmlformats.org/officeDocument/2006/relationships/hyperlink" Target="file:///F:\SECOP%20W.%20CAFE\14.%20Municipio%20de%20Copacabana\2.%20Parque%20Ppal%20Copacabana\AppData\Roaming\Microsoft\Excel\PRESUPUESTO%20PARQUE%20COPACABANA\PRESUPUESTO%20COPACABANA.xlsx" TargetMode="External"/><Relationship Id="rId20" Type="http://schemas.openxmlformats.org/officeDocument/2006/relationships/hyperlink" Target="file:///F:\SECOP%20W.%20CAFE\14.%20Municipio%20de%20Copacabana\2.%20Parque%20Ppal%20Copacabana\AppData\Roaming\Microsoft\Excel\PRESUPUESTO%20PARQUE%20COPACABANA\PRESUPUESTO%20COPACABANA.xlsx" TargetMode="External"/><Relationship Id="rId29" Type="http://schemas.openxmlformats.org/officeDocument/2006/relationships/hyperlink" Target="file:///F:\SECOP%20W.%20CAFE\14.%20Municipio%20de%20Copacabana\2.%20Parque%20Ppal%20Copacabana\AppData\Roaming\Microsoft\Excel\PRESUPUESTO%20PARQUE%20COPACABANA\PRESUPUESTO%20COPACABANA.xlsx" TargetMode="External"/><Relationship Id="rId41"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6" Type="http://schemas.openxmlformats.org/officeDocument/2006/relationships/hyperlink" Target="file:///F:\SECOP%20W.%20CAFE\14.%20Municipio%20de%20Copacabana\2.%20Parque%20Ppal%20Copacabana\AppData\Roaming\Microsoft\Excel\PRESUPUESTO%20PARQUE%20COPACABANA\PRESUPUESTO%20COPACABANA.xlsx" TargetMode="External"/><Relationship Id="rId11" Type="http://schemas.openxmlformats.org/officeDocument/2006/relationships/hyperlink" Target="file:///F:\SECOP%20W.%20CAFE\14.%20Municipio%20de%20Copacabana\2.%20Parque%20Ppal%20Copacabana\AppData\Roaming\Microsoft\Excel\PRESUPUESTO%20PARQUE%20COPACABANA\PRESUPUESTO%20COPACABANA.xlsx" TargetMode="External"/><Relationship Id="rId24" Type="http://schemas.openxmlformats.org/officeDocument/2006/relationships/hyperlink" Target="file:///F:\SECOP%20W.%20CAFE\14.%20Municipio%20de%20Copacabana\2.%20Parque%20Ppal%20Copacabana\AppData\Roaming\Microsoft\Excel\PRESUPUESTO%20PARQUE%20COPACABANA\PRESUPUESTO%20COPACABANA.xlsx" TargetMode="External"/><Relationship Id="rId32" Type="http://schemas.openxmlformats.org/officeDocument/2006/relationships/hyperlink" Target="file:///F:\SECOP%20W.%20CAFE\14.%20Municipio%20de%20Copacabana\2.%20Parque%20Ppal%20Copacabana\AppData\Roaming\Microsoft\Excel\PRESUPUESTO%20PARQUE%20COPACABANA\PRESUPUESTO%20COPACABANA.xlsx" TargetMode="External"/><Relationship Id="rId37" Type="http://schemas.openxmlformats.org/officeDocument/2006/relationships/hyperlink" Target="file:///F:\SECOP%20W.%20CAFE\14.%20Municipio%20de%20Copacabana\2.%20Parque%20Ppal%20Copacabana\AppData\Roaming\Microsoft\Excel\PRESUPUESTO%20PARQUE%20COPACABANA\PRESUPUESTO%20COPACABANA.xlsx" TargetMode="External"/><Relationship Id="rId40" Type="http://schemas.openxmlformats.org/officeDocument/2006/relationships/hyperlink" Target="file:///F:\SECOP%20W.%20CAFE\14.%20Municipio%20de%20Copacabana\2.%20Parque%20Ppal%20Copacabana\AppData\Roaming\Microsoft\Excel\PRESUPUESTO%20PARQUE%20COPACABANA\PRESUPUESTO%20COPACABANA.xlsx" TargetMode="External"/><Relationship Id="rId5" Type="http://schemas.openxmlformats.org/officeDocument/2006/relationships/hyperlink" Target="file:///F:\SECOP%20W.%20CAFE\14.%20Municipio%20de%20Copacabana\2.%20Parque%20Ppal%20Copacabana\AppData\Roaming\Microsoft\Excel\PRESUPUESTO%20PARQUE%20COPACABANA\PRESUPUESTO%20COPACABANA.xlsx" TargetMode="External"/><Relationship Id="rId15" Type="http://schemas.openxmlformats.org/officeDocument/2006/relationships/hyperlink" Target="file:///F:\SECOP%20W.%20CAFE\14.%20Municipio%20de%20Copacabana\2.%20Parque%20Ppal%20Copacabana\AppData\Roaming\Microsoft\Excel\PRESUPUESTO%20PARQUE%20COPACABANA\PRESUPUESTO%20COPACABANA.xlsx" TargetMode="External"/><Relationship Id="rId23" Type="http://schemas.openxmlformats.org/officeDocument/2006/relationships/hyperlink" Target="file:///F:\SECOP%20W.%20CAFE\14.%20Municipio%20de%20Copacabana\2.%20Parque%20Ppal%20Copacabana\AppData\Roaming\Microsoft\Excel\PRESUPUESTO%20PARQUE%20COPACABANA\PRESUPUESTO%20COPACABANA.xlsx" TargetMode="External"/><Relationship Id="rId28" Type="http://schemas.openxmlformats.org/officeDocument/2006/relationships/hyperlink" Target="file:///F:\SECOP%20W.%20CAFE\14.%20Municipio%20de%20Copacabana\2.%20Parque%20Ppal%20Copacabana\AppData\Roaming\Microsoft\Excel\PRESUPUESTO%20PARQUE%20COPACABANA\PRESUPUESTO%20COPACABANA.xlsx" TargetMode="External"/><Relationship Id="rId36" Type="http://schemas.openxmlformats.org/officeDocument/2006/relationships/hyperlink" Target="file:///F:\SECOP%20W.%20CAFE\14.%20Municipio%20de%20Copacabana\2.%20Parque%20Ppal%20Copacabana\AppData\Roaming\Microsoft\Excel\PRESUPUESTO%20PARQUE%20COPACABANA\PRESUPUESTO%20COPACABANA.xlsx" TargetMode="External"/><Relationship Id="rId10" Type="http://schemas.openxmlformats.org/officeDocument/2006/relationships/hyperlink" Target="file:///F:\SECOP%20W.%20CAFE\14.%20Municipio%20de%20Copacabana\2.%20Parque%20Ppal%20Copacabana\AppData\Roaming\Microsoft\Excel\PRESUPUESTO%20PARQUE%20COPACABANA\PRESUPUESTO%20COPACABANA.xlsx" TargetMode="External"/><Relationship Id="rId19" Type="http://schemas.openxmlformats.org/officeDocument/2006/relationships/hyperlink" Target="file:///F:\SECOP%20W.%20CAFE\14.%20Municipio%20de%20Copacabana\2.%20Parque%20Ppal%20Copacabana\AppData\Roaming\Microsoft\Excel\PRESUPUESTO%20PARQUE%20COPACABANA\PRESUPUESTO%20COPACABANA.xlsx" TargetMode="External"/><Relationship Id="rId31" Type="http://schemas.openxmlformats.org/officeDocument/2006/relationships/hyperlink" Target="file:///F:\SECOP%20W.%20CAFE\14.%20Municipio%20de%20Copacabana\2.%20Parque%20Ppal%20Copacabana\AppData\Roaming\Microsoft\Excel\PRESUPUESTO%20PARQUE%20COPACABANA\PRESUPUESTO%20COPACABANA.xlsx" TargetMode="External"/><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 Id="rId9" Type="http://schemas.openxmlformats.org/officeDocument/2006/relationships/hyperlink" Target="file:///F:\SECOP%20W.%20CAFE\14.%20Municipio%20de%20Copacabana\2.%20Parque%20Ppal%20Copacabana\AppData\Roaming\Microsoft\Excel\PRESUPUESTO%20PARQUE%20COPACABANA\PRESUPUESTO%20COPACABANA.xlsx" TargetMode="External"/><Relationship Id="rId14" Type="http://schemas.openxmlformats.org/officeDocument/2006/relationships/hyperlink" Target="file:///F:\SECOP%20W.%20CAFE\14.%20Municipio%20de%20Copacabana\2.%20Parque%20Ppal%20Copacabana\AppData\Roaming\Microsoft\Excel\PRESUPUESTO%20PARQUE%20COPACABANA\PRESUPUESTO%20COPACABANA.xlsx" TargetMode="External"/><Relationship Id="rId22" Type="http://schemas.openxmlformats.org/officeDocument/2006/relationships/hyperlink" Target="file:///F:\SECOP%20W.%20CAFE\14.%20Municipio%20de%20Copacabana\2.%20Parque%20Ppal%20Copacabana\AppData\Roaming\Microsoft\Excel\PRESUPUESTO%20PARQUE%20COPACABANA\PRESUPUESTO%20COPACABANA.xlsx" TargetMode="External"/><Relationship Id="rId27" Type="http://schemas.openxmlformats.org/officeDocument/2006/relationships/hyperlink" Target="file:///F:\SECOP%20W.%20CAFE\14.%20Municipio%20de%20Copacabana\2.%20Parque%20Ppal%20Copacabana\AppData\Roaming\Microsoft\Excel\PRESUPUESTO%20PARQUE%20COPACABANA\PRESUPUESTO%20COPACABANA.xlsx" TargetMode="External"/><Relationship Id="rId30" Type="http://schemas.openxmlformats.org/officeDocument/2006/relationships/hyperlink" Target="file:///F:\SECOP%20W.%20CAFE\14.%20Municipio%20de%20Copacabana\2.%20Parque%20Ppal%20Copacabana\AppData\Roaming\Microsoft\Excel\PRESUPUESTO%20PARQUE%20COPACABANA\PRESUPUESTO%20COPACABANA.xlsx" TargetMode="External"/><Relationship Id="rId35" Type="http://schemas.openxmlformats.org/officeDocument/2006/relationships/hyperlink" Target="file:///F:\SECOP%20W.%20CAFE\14.%20Municipio%20de%20Copacabana\2.%20Parque%20Ppal%20Copacabana\AppData\Roaming\Microsoft\Excel\PRESUPUESTO%20PARQUE%20COPACABANA\PRESUPUESTO%20COPACABANA.xlsx" TargetMode="External"/><Relationship Id="rId43" Type="http://schemas.openxmlformats.org/officeDocument/2006/relationships/drawing" Target="../drawings/drawing2.xml"/><Relationship Id="rId8" Type="http://schemas.openxmlformats.org/officeDocument/2006/relationships/hyperlink" Target="file:///F:\SECOP%20W.%20CAFE\14.%20Municipio%20de%20Copacabana\2.%20Parque%20Ppal%20Copacabana\AppData\Roaming\Microsoft\Excel\PRESUPUESTO%20PARQUE%20COPACABANA\PRESUPUESTO%20COPACABANA.xlsx" TargetMode="External"/><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1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7" Type="http://schemas.openxmlformats.org/officeDocument/2006/relationships/hyperlink" Target="file:///F:\SECOP%20W.%20CAFE\14.%20Municipio%20de%20Copacabana\2.%20Parque%20Ppal%20Copacabana\AppData\Roaming\Microsoft\Excel\PRESUPUESTO%20PARQUE%20COPACABANA\PRESUPUESTO%20COPACABANA.xlsx" TargetMode="External"/><Relationship Id="rId25" Type="http://schemas.openxmlformats.org/officeDocument/2006/relationships/hyperlink" Target="file:///F:\SECOP%20W.%20CAFE\14.%20Municipio%20de%20Copacabana\2.%20Parque%20Ppal%20Copacabana\AppData\Roaming\Microsoft\Excel\PRESUPUESTO%20PARQUE%20COPACABANA\PRESUPUESTO%20COPACABANA.xlsx" TargetMode="External"/><Relationship Id="rId33" Type="http://schemas.openxmlformats.org/officeDocument/2006/relationships/hyperlink" Target="file:///F:\SECOP%20W.%20CAFE\14.%20Municipio%20de%20Copacabana\2.%20Parque%20Ppal%20Copacabana\AppData\Roaming\Microsoft\Excel\PRESUPUESTO%20PARQUE%20COPACABANA\PRESUPUESTO%20COPACABANA.xlsx" TargetMode="External"/><Relationship Id="rId38"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7" Type="http://schemas.openxmlformats.org/officeDocument/2006/relationships/printerSettings" Target="../printerSettings/printerSettings11.bin"/><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6" Type="http://schemas.openxmlformats.org/officeDocument/2006/relationships/hyperlink" Target="file:///F:\SECOP%20W.%20CAFE\14.%20Municipio%20de%20Copacabana\2.%20Parque%20Ppal%20Copacabana\AppData\Roaming\Microsoft\Excel\PRESUPUESTO%20PARQUE%20COPACABANA\PRESUPUESTO%20COPACABANA.xlsx" TargetMode="External"/><Relationship Id="rId5" Type="http://schemas.openxmlformats.org/officeDocument/2006/relationships/hyperlink" Target="file:///F:\SECOP%20W.%20CAFE\14.%20Municipio%20de%20Copacabana\2.%20Parque%20Ppal%20Copacabana\AppData\Roaming\Microsoft\Excel\PRESUPUESTO%20PARQUE%20COPACABANA\PRESUPUESTO%20COPACABANA.xlsx" TargetMode="External"/><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7" Type="http://schemas.openxmlformats.org/officeDocument/2006/relationships/printerSettings" Target="../printerSettings/printerSettings12.bin"/><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6" Type="http://schemas.openxmlformats.org/officeDocument/2006/relationships/hyperlink" Target="file:///F:\SECOP%20W.%20CAFE\14.%20Municipio%20de%20Copacabana\2.%20Parque%20Ppal%20Copacabana\AppData\Roaming\Microsoft\Excel\PRESUPUESTO%20PARQUE%20COPACABANA\PRESUPUESTO%20COPACABANA.xlsx" TargetMode="External"/><Relationship Id="rId5" Type="http://schemas.openxmlformats.org/officeDocument/2006/relationships/hyperlink" Target="file:///F:\SECOP%20W.%20CAFE\14.%20Municipio%20de%20Copacabana\2.%20Parque%20Ppal%20Copacabana\AppData\Roaming\Microsoft\Excel\PRESUPUESTO%20PARQUE%20COPACABANA\PRESUPUESTO%20COPACABANA.xlsx" TargetMode="External"/><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file:///F:\SECOP%20W.%20CAFE\14.%20Municipio%20de%20Copacabana\2.%20Parque%20Ppal%20Copacabana\AppData\Roaming\Microsoft\Excel\PRESUPUESTO%20PARQUE%20COPACABANA\PRESUPUESTO%20COPACABANA.xlsx" TargetMode="External"/><Relationship Id="rId13" Type="http://schemas.openxmlformats.org/officeDocument/2006/relationships/printerSettings" Target="../printerSettings/printerSettings13.bin"/><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7" Type="http://schemas.openxmlformats.org/officeDocument/2006/relationships/hyperlink" Target="file:///F:\SECOP%20W.%20CAFE\14.%20Municipio%20de%20Copacabana\2.%20Parque%20Ppal%20Copacabana\AppData\Roaming\Microsoft\Excel\PRESUPUESTO%20PARQUE%20COPACABANA\PRESUPUESTO%20COPACABANA.xlsx" TargetMode="External"/><Relationship Id="rId12" Type="http://schemas.openxmlformats.org/officeDocument/2006/relationships/hyperlink" Target="file:///F:\SECOP%20W.%20CAFE\14.%20Municipio%20de%20Copacabana\2.%20Parque%20Ppal%20Copacabana\AppData\Roaming\Microsoft\Excel\PRESUPUESTO%20PARQUE%20COPACABANA\PRESUPUESTO%20COPACABANA.xlsx" TargetMode="External"/><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6" Type="http://schemas.openxmlformats.org/officeDocument/2006/relationships/hyperlink" Target="file:///F:\SECOP%20W.%20CAFE\14.%20Municipio%20de%20Copacabana\2.%20Parque%20Ppal%20Copacabana\AppData\Roaming\Microsoft\Excel\PRESUPUESTO%20PARQUE%20COPACABANA\PRESUPUESTO%20COPACABANA.xlsx" TargetMode="External"/><Relationship Id="rId11" Type="http://schemas.openxmlformats.org/officeDocument/2006/relationships/hyperlink" Target="file:///F:\SECOP%20W.%20CAFE\14.%20Municipio%20de%20Copacabana\2.%20Parque%20Ppal%20Copacabana\AppData\Roaming\Microsoft\Excel\PRESUPUESTO%20PARQUE%20COPACABANA\PRESUPUESTO%20COPACABANA.xlsx" TargetMode="External"/><Relationship Id="rId5" Type="http://schemas.openxmlformats.org/officeDocument/2006/relationships/hyperlink" Target="file:///F:\SECOP%20W.%20CAFE\14.%20Municipio%20de%20Copacabana\2.%20Parque%20Ppal%20Copacabana\AppData\Roaming\Microsoft\Excel\PRESUPUESTO%20PARQUE%20COPACABANA\PRESUPUESTO%20COPACABANA.xlsx" TargetMode="External"/><Relationship Id="rId10" Type="http://schemas.openxmlformats.org/officeDocument/2006/relationships/hyperlink" Target="file:///F:\SECOP%20W.%20CAFE\14.%20Municipio%20de%20Copacabana\2.%20Parque%20Ppal%20Copacabana\AppData\Roaming\Microsoft\Excel\PRESUPUESTO%20PARQUE%20COPACABANA\PRESUPUESTO%20COPACABANA.xlsx" TargetMode="External"/><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 Id="rId9" Type="http://schemas.openxmlformats.org/officeDocument/2006/relationships/hyperlink" Target="file:///F:\SECOP%20W.%20CAFE\14.%20Municipio%20de%20Copacabana\2.%20Parque%20Ppal%20Copacabana\AppData\Roaming\Microsoft\Excel\PRESUPUESTO%20PARQUE%20COPACABANA\PRESUPUESTO%20COPACABANA.xlsx" TargetMode="External"/><Relationship Id="rId14" Type="http://schemas.openxmlformats.org/officeDocument/2006/relationships/drawing" Target="../drawings/drawing3.xml"/></Relationships>
</file>

<file path=xl/worksheets/_rels/sheet15.xml.rels><?xml version="1.0" encoding="UTF-8" standalone="yes"?>
<Relationships xmlns="http://schemas.openxmlformats.org/package/2006/relationships"><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5" Type="http://schemas.openxmlformats.org/officeDocument/2006/relationships/printerSettings" Target="../printerSettings/printerSettings14.bin"/><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https://tienex.co/catalogo/reciclaje/puntos-ecologicos/barcelona-2-puestos/" TargetMode="External"/><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7" Type="http://schemas.openxmlformats.org/officeDocument/2006/relationships/hyperlink" Target="https://tienex.co/catalogo/reciclaje/puntos-ecologicos/caneca-acero-inoxidable-75lts-barcelona-m121-con-techo/" TargetMode="External"/><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6" Type="http://schemas.openxmlformats.org/officeDocument/2006/relationships/hyperlink" Target="file:///F:\SECOP%20W.%20CAFE\14.%20Municipio%20de%20Copacabana\2.%20Parque%20Ppal%20Copacabana\AppData\Roaming\Microsoft\Excel\PRESUPUESTO%20PARQUE%20COPACABANA\PRESUPUESTO%20COPACABANA.xlsx" TargetMode="External"/><Relationship Id="rId5" Type="http://schemas.openxmlformats.org/officeDocument/2006/relationships/hyperlink" Target="file:///F:\SECOP%20W.%20CAFE\14.%20Municipio%20de%20Copacabana\2.%20Parque%20Ppal%20Copacabana\AppData\Roaming\Microsoft\Excel\PRESUPUESTO%20PARQUE%20COPACABANA\PRESUPUESTO%20COPACABANA.xlsx" TargetMode="External"/><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 Id="rId9"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5" Type="http://schemas.openxmlformats.org/officeDocument/2006/relationships/printerSettings" Target="../printerSettings/printerSettings18.bin"/><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1.xml.rels><?xml version="1.0" encoding="UTF-8" standalone="yes"?>
<Relationships xmlns="http://schemas.openxmlformats.org/package/2006/relationships"><Relationship Id="rId3" Type="http://schemas.openxmlformats.org/officeDocument/2006/relationships/hyperlink" Target="file:///F:\SECOP%20W.%20CAFE\14.%20Municipio%20de%20Copacabana\2.%20Parque%20Ppal%20Copacabana\AppData\Roaming\Microsoft\Excel\PRESUPUESTO%20PARQUE%20COPACABANA\PRESUPUESTO%20COPACABANA.xlsx" TargetMode="External"/><Relationship Id="rId2" Type="http://schemas.openxmlformats.org/officeDocument/2006/relationships/hyperlink" Target="file:///F:\SECOP%20W.%20CAFE\14.%20Municipio%20de%20Copacabana\2.%20Parque%20Ppal%20Copacabana\AppData\Roaming\Microsoft\Excel\PRESUPUESTO%20PARQUE%20COPACABANA\PRESUPUESTO%20COPACABANA.xlsx" TargetMode="External"/><Relationship Id="rId1" Type="http://schemas.openxmlformats.org/officeDocument/2006/relationships/hyperlink" Target="file:///F:\SECOP%20W.%20CAFE\14.%20Municipio%20de%20Copacabana\2.%20Parque%20Ppal%20Copacabana\AppData\Roaming\Microsoft\Excel\PRESUPUESTO%20PARQUE%20COPACABANA\PRESUPUESTO%20COPACABANA.xlsx" TargetMode="External"/><Relationship Id="rId6" Type="http://schemas.openxmlformats.org/officeDocument/2006/relationships/vmlDrawing" Target="../drawings/vmlDrawing4.vml"/><Relationship Id="rId5" Type="http://schemas.openxmlformats.org/officeDocument/2006/relationships/printerSettings" Target="../printerSettings/printerSettings19.bin"/><Relationship Id="rId4" Type="http://schemas.openxmlformats.org/officeDocument/2006/relationships/hyperlink" Target="file:///F:\SECOP%20W.%20CAFE\14.%20Municipio%20de%20Copacabana\2.%20Parque%20Ppal%20Copacabana\AppData\Roaming\Microsoft\Excel\PRESUPUESTO%20PARQUE%20COPACABANA\PRESUPUESTO%20COPACABANA.xlsx" TargetMode="External"/></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8552B-AF4B-4606-B17E-131FEE58B04D}">
  <sheetPr>
    <tabColor theme="6" tint="0.79998168889431442"/>
  </sheetPr>
  <dimension ref="A1:J41"/>
  <sheetViews>
    <sheetView view="pageBreakPreview" topLeftCell="B19" zoomScaleNormal="85" zoomScaleSheetLayoutView="100" workbookViewId="0">
      <selection activeCell="H42" sqref="H42"/>
    </sheetView>
  </sheetViews>
  <sheetFormatPr baseColWidth="10" defaultRowHeight="12.75"/>
  <cols>
    <col min="1" max="1" width="6.28515625" style="196" customWidth="1"/>
    <col min="2" max="2" width="53.7109375" style="196" customWidth="1"/>
    <col min="3" max="3" width="10.28515625" style="196" customWidth="1"/>
    <col min="4" max="4" width="13.42578125" style="197" bestFit="1" customWidth="1"/>
    <col min="5" max="5" width="9.140625" style="196" bestFit="1" customWidth="1"/>
    <col min="6" max="6" width="11" style="196" bestFit="1" customWidth="1"/>
    <col min="7" max="7" width="6.5703125" style="196" bestFit="1" customWidth="1"/>
    <col min="8" max="8" width="23.5703125" style="198" customWidth="1"/>
    <col min="9" max="9" width="14.140625" style="196" bestFit="1" customWidth="1"/>
    <col min="10" max="10" width="18.140625" style="196" customWidth="1"/>
    <col min="11" max="244" width="11.42578125" style="196"/>
    <col min="245" max="245" width="8.140625" style="196" customWidth="1"/>
    <col min="246" max="246" width="36.42578125" style="196" customWidth="1"/>
    <col min="247" max="247" width="10.5703125" style="196" customWidth="1"/>
    <col min="248" max="251" width="11.42578125" style="196"/>
    <col min="252" max="252" width="19.42578125" style="196" customWidth="1"/>
    <col min="253" max="500" width="11.42578125" style="196"/>
    <col min="501" max="501" width="8.140625" style="196" customWidth="1"/>
    <col min="502" max="502" width="36.42578125" style="196" customWidth="1"/>
    <col min="503" max="503" width="10.5703125" style="196" customWidth="1"/>
    <col min="504" max="507" width="11.42578125" style="196"/>
    <col min="508" max="508" width="19.42578125" style="196" customWidth="1"/>
    <col min="509" max="756" width="11.42578125" style="196"/>
    <col min="757" max="757" width="8.140625" style="196" customWidth="1"/>
    <col min="758" max="758" width="36.42578125" style="196" customWidth="1"/>
    <col min="759" max="759" width="10.5703125" style="196" customWidth="1"/>
    <col min="760" max="763" width="11.42578125" style="196"/>
    <col min="764" max="764" width="19.42578125" style="196" customWidth="1"/>
    <col min="765" max="1012" width="11.42578125" style="196"/>
    <col min="1013" max="1013" width="8.140625" style="196" customWidth="1"/>
    <col min="1014" max="1014" width="36.42578125" style="196" customWidth="1"/>
    <col min="1015" max="1015" width="10.5703125" style="196" customWidth="1"/>
    <col min="1016" max="1019" width="11.42578125" style="196"/>
    <col min="1020" max="1020" width="19.42578125" style="196" customWidth="1"/>
    <col min="1021" max="1268" width="11.42578125" style="196"/>
    <col min="1269" max="1269" width="8.140625" style="196" customWidth="1"/>
    <col min="1270" max="1270" width="36.42578125" style="196" customWidth="1"/>
    <col min="1271" max="1271" width="10.5703125" style="196" customWidth="1"/>
    <col min="1272" max="1275" width="11.42578125" style="196"/>
    <col min="1276" max="1276" width="19.42578125" style="196" customWidth="1"/>
    <col min="1277" max="1524" width="11.42578125" style="196"/>
    <col min="1525" max="1525" width="8.140625" style="196" customWidth="1"/>
    <col min="1526" max="1526" width="36.42578125" style="196" customWidth="1"/>
    <col min="1527" max="1527" width="10.5703125" style="196" customWidth="1"/>
    <col min="1528" max="1531" width="11.42578125" style="196"/>
    <col min="1532" max="1532" width="19.42578125" style="196" customWidth="1"/>
    <col min="1533" max="1780" width="11.42578125" style="196"/>
    <col min="1781" max="1781" width="8.140625" style="196" customWidth="1"/>
    <col min="1782" max="1782" width="36.42578125" style="196" customWidth="1"/>
    <col min="1783" max="1783" width="10.5703125" style="196" customWidth="1"/>
    <col min="1784" max="1787" width="11.42578125" style="196"/>
    <col min="1788" max="1788" width="19.42578125" style="196" customWidth="1"/>
    <col min="1789" max="2036" width="11.42578125" style="196"/>
    <col min="2037" max="2037" width="8.140625" style="196" customWidth="1"/>
    <col min="2038" max="2038" width="36.42578125" style="196" customWidth="1"/>
    <col min="2039" max="2039" width="10.5703125" style="196" customWidth="1"/>
    <col min="2040" max="2043" width="11.42578125" style="196"/>
    <col min="2044" max="2044" width="19.42578125" style="196" customWidth="1"/>
    <col min="2045" max="2292" width="11.42578125" style="196"/>
    <col min="2293" max="2293" width="8.140625" style="196" customWidth="1"/>
    <col min="2294" max="2294" width="36.42578125" style="196" customWidth="1"/>
    <col min="2295" max="2295" width="10.5703125" style="196" customWidth="1"/>
    <col min="2296" max="2299" width="11.42578125" style="196"/>
    <col min="2300" max="2300" width="19.42578125" style="196" customWidth="1"/>
    <col min="2301" max="2548" width="11.42578125" style="196"/>
    <col min="2549" max="2549" width="8.140625" style="196" customWidth="1"/>
    <col min="2550" max="2550" width="36.42578125" style="196" customWidth="1"/>
    <col min="2551" max="2551" width="10.5703125" style="196" customWidth="1"/>
    <col min="2552" max="2555" width="11.42578125" style="196"/>
    <col min="2556" max="2556" width="19.42578125" style="196" customWidth="1"/>
    <col min="2557" max="2804" width="11.42578125" style="196"/>
    <col min="2805" max="2805" width="8.140625" style="196" customWidth="1"/>
    <col min="2806" max="2806" width="36.42578125" style="196" customWidth="1"/>
    <col min="2807" max="2807" width="10.5703125" style="196" customWidth="1"/>
    <col min="2808" max="2811" width="11.42578125" style="196"/>
    <col min="2812" max="2812" width="19.42578125" style="196" customWidth="1"/>
    <col min="2813" max="3060" width="11.42578125" style="196"/>
    <col min="3061" max="3061" width="8.140625" style="196" customWidth="1"/>
    <col min="3062" max="3062" width="36.42578125" style="196" customWidth="1"/>
    <col min="3063" max="3063" width="10.5703125" style="196" customWidth="1"/>
    <col min="3064" max="3067" width="11.42578125" style="196"/>
    <col min="3068" max="3068" width="19.42578125" style="196" customWidth="1"/>
    <col min="3069" max="3316" width="11.42578125" style="196"/>
    <col min="3317" max="3317" width="8.140625" style="196" customWidth="1"/>
    <col min="3318" max="3318" width="36.42578125" style="196" customWidth="1"/>
    <col min="3319" max="3319" width="10.5703125" style="196" customWidth="1"/>
    <col min="3320" max="3323" width="11.42578125" style="196"/>
    <col min="3324" max="3324" width="19.42578125" style="196" customWidth="1"/>
    <col min="3325" max="3572" width="11.42578125" style="196"/>
    <col min="3573" max="3573" width="8.140625" style="196" customWidth="1"/>
    <col min="3574" max="3574" width="36.42578125" style="196" customWidth="1"/>
    <col min="3575" max="3575" width="10.5703125" style="196" customWidth="1"/>
    <col min="3576" max="3579" width="11.42578125" style="196"/>
    <col min="3580" max="3580" width="19.42578125" style="196" customWidth="1"/>
    <col min="3581" max="3828" width="11.42578125" style="196"/>
    <col min="3829" max="3829" width="8.140625" style="196" customWidth="1"/>
    <col min="3830" max="3830" width="36.42578125" style="196" customWidth="1"/>
    <col min="3831" max="3831" width="10.5703125" style="196" customWidth="1"/>
    <col min="3832" max="3835" width="11.42578125" style="196"/>
    <col min="3836" max="3836" width="19.42578125" style="196" customWidth="1"/>
    <col min="3837" max="4084" width="11.42578125" style="196"/>
    <col min="4085" max="4085" width="8.140625" style="196" customWidth="1"/>
    <col min="4086" max="4086" width="36.42578125" style="196" customWidth="1"/>
    <col min="4087" max="4087" width="10.5703125" style="196" customWidth="1"/>
    <col min="4088" max="4091" width="11.42578125" style="196"/>
    <col min="4092" max="4092" width="19.42578125" style="196" customWidth="1"/>
    <col min="4093" max="4340" width="11.42578125" style="196"/>
    <col min="4341" max="4341" width="8.140625" style="196" customWidth="1"/>
    <col min="4342" max="4342" width="36.42578125" style="196" customWidth="1"/>
    <col min="4343" max="4343" width="10.5703125" style="196" customWidth="1"/>
    <col min="4344" max="4347" width="11.42578125" style="196"/>
    <col min="4348" max="4348" width="19.42578125" style="196" customWidth="1"/>
    <col min="4349" max="4596" width="11.42578125" style="196"/>
    <col min="4597" max="4597" width="8.140625" style="196" customWidth="1"/>
    <col min="4598" max="4598" width="36.42578125" style="196" customWidth="1"/>
    <col min="4599" max="4599" width="10.5703125" style="196" customWidth="1"/>
    <col min="4600" max="4603" width="11.42578125" style="196"/>
    <col min="4604" max="4604" width="19.42578125" style="196" customWidth="1"/>
    <col min="4605" max="4852" width="11.42578125" style="196"/>
    <col min="4853" max="4853" width="8.140625" style="196" customWidth="1"/>
    <col min="4854" max="4854" width="36.42578125" style="196" customWidth="1"/>
    <col min="4855" max="4855" width="10.5703125" style="196" customWidth="1"/>
    <col min="4856" max="4859" width="11.42578125" style="196"/>
    <col min="4860" max="4860" width="19.42578125" style="196" customWidth="1"/>
    <col min="4861" max="5108" width="11.42578125" style="196"/>
    <col min="5109" max="5109" width="8.140625" style="196" customWidth="1"/>
    <col min="5110" max="5110" width="36.42578125" style="196" customWidth="1"/>
    <col min="5111" max="5111" width="10.5703125" style="196" customWidth="1"/>
    <col min="5112" max="5115" width="11.42578125" style="196"/>
    <col min="5116" max="5116" width="19.42578125" style="196" customWidth="1"/>
    <col min="5117" max="5364" width="11.42578125" style="196"/>
    <col min="5365" max="5365" width="8.140625" style="196" customWidth="1"/>
    <col min="5366" max="5366" width="36.42578125" style="196" customWidth="1"/>
    <col min="5367" max="5367" width="10.5703125" style="196" customWidth="1"/>
    <col min="5368" max="5371" width="11.42578125" style="196"/>
    <col min="5372" max="5372" width="19.42578125" style="196" customWidth="1"/>
    <col min="5373" max="5620" width="11.42578125" style="196"/>
    <col min="5621" max="5621" width="8.140625" style="196" customWidth="1"/>
    <col min="5622" max="5622" width="36.42578125" style="196" customWidth="1"/>
    <col min="5623" max="5623" width="10.5703125" style="196" customWidth="1"/>
    <col min="5624" max="5627" width="11.42578125" style="196"/>
    <col min="5628" max="5628" width="19.42578125" style="196" customWidth="1"/>
    <col min="5629" max="5876" width="11.42578125" style="196"/>
    <col min="5877" max="5877" width="8.140625" style="196" customWidth="1"/>
    <col min="5878" max="5878" width="36.42578125" style="196" customWidth="1"/>
    <col min="5879" max="5879" width="10.5703125" style="196" customWidth="1"/>
    <col min="5880" max="5883" width="11.42578125" style="196"/>
    <col min="5884" max="5884" width="19.42578125" style="196" customWidth="1"/>
    <col min="5885" max="6132" width="11.42578125" style="196"/>
    <col min="6133" max="6133" width="8.140625" style="196" customWidth="1"/>
    <col min="6134" max="6134" width="36.42578125" style="196" customWidth="1"/>
    <col min="6135" max="6135" width="10.5703125" style="196" customWidth="1"/>
    <col min="6136" max="6139" width="11.42578125" style="196"/>
    <col min="6140" max="6140" width="19.42578125" style="196" customWidth="1"/>
    <col min="6141" max="6388" width="11.42578125" style="196"/>
    <col min="6389" max="6389" width="8.140625" style="196" customWidth="1"/>
    <col min="6390" max="6390" width="36.42578125" style="196" customWidth="1"/>
    <col min="6391" max="6391" width="10.5703125" style="196" customWidth="1"/>
    <col min="6392" max="6395" width="11.42578125" style="196"/>
    <col min="6396" max="6396" width="19.42578125" style="196" customWidth="1"/>
    <col min="6397" max="6644" width="11.42578125" style="196"/>
    <col min="6645" max="6645" width="8.140625" style="196" customWidth="1"/>
    <col min="6646" max="6646" width="36.42578125" style="196" customWidth="1"/>
    <col min="6647" max="6647" width="10.5703125" style="196" customWidth="1"/>
    <col min="6648" max="6651" width="11.42578125" style="196"/>
    <col min="6652" max="6652" width="19.42578125" style="196" customWidth="1"/>
    <col min="6653" max="6900" width="11.42578125" style="196"/>
    <col min="6901" max="6901" width="8.140625" style="196" customWidth="1"/>
    <col min="6902" max="6902" width="36.42578125" style="196" customWidth="1"/>
    <col min="6903" max="6903" width="10.5703125" style="196" customWidth="1"/>
    <col min="6904" max="6907" width="11.42578125" style="196"/>
    <col min="6908" max="6908" width="19.42578125" style="196" customWidth="1"/>
    <col min="6909" max="7156" width="11.42578125" style="196"/>
    <col min="7157" max="7157" width="8.140625" style="196" customWidth="1"/>
    <col min="7158" max="7158" width="36.42578125" style="196" customWidth="1"/>
    <col min="7159" max="7159" width="10.5703125" style="196" customWidth="1"/>
    <col min="7160" max="7163" width="11.42578125" style="196"/>
    <col min="7164" max="7164" width="19.42578125" style="196" customWidth="1"/>
    <col min="7165" max="7412" width="11.42578125" style="196"/>
    <col min="7413" max="7413" width="8.140625" style="196" customWidth="1"/>
    <col min="7414" max="7414" width="36.42578125" style="196" customWidth="1"/>
    <col min="7415" max="7415" width="10.5703125" style="196" customWidth="1"/>
    <col min="7416" max="7419" width="11.42578125" style="196"/>
    <col min="7420" max="7420" width="19.42578125" style="196" customWidth="1"/>
    <col min="7421" max="7668" width="11.42578125" style="196"/>
    <col min="7669" max="7669" width="8.140625" style="196" customWidth="1"/>
    <col min="7670" max="7670" width="36.42578125" style="196" customWidth="1"/>
    <col min="7671" max="7671" width="10.5703125" style="196" customWidth="1"/>
    <col min="7672" max="7675" width="11.42578125" style="196"/>
    <col min="7676" max="7676" width="19.42578125" style="196" customWidth="1"/>
    <col min="7677" max="7924" width="11.42578125" style="196"/>
    <col min="7925" max="7925" width="8.140625" style="196" customWidth="1"/>
    <col min="7926" max="7926" width="36.42578125" style="196" customWidth="1"/>
    <col min="7927" max="7927" width="10.5703125" style="196" customWidth="1"/>
    <col min="7928" max="7931" width="11.42578125" style="196"/>
    <col min="7932" max="7932" width="19.42578125" style="196" customWidth="1"/>
    <col min="7933" max="8180" width="11.42578125" style="196"/>
    <col min="8181" max="8181" width="8.140625" style="196" customWidth="1"/>
    <col min="8182" max="8182" width="36.42578125" style="196" customWidth="1"/>
    <col min="8183" max="8183" width="10.5703125" style="196" customWidth="1"/>
    <col min="8184" max="8187" width="11.42578125" style="196"/>
    <col min="8188" max="8188" width="19.42578125" style="196" customWidth="1"/>
    <col min="8189" max="8436" width="11.42578125" style="196"/>
    <col min="8437" max="8437" width="8.140625" style="196" customWidth="1"/>
    <col min="8438" max="8438" width="36.42578125" style="196" customWidth="1"/>
    <col min="8439" max="8439" width="10.5703125" style="196" customWidth="1"/>
    <col min="8440" max="8443" width="11.42578125" style="196"/>
    <col min="8444" max="8444" width="19.42578125" style="196" customWidth="1"/>
    <col min="8445" max="8692" width="11.42578125" style="196"/>
    <col min="8693" max="8693" width="8.140625" style="196" customWidth="1"/>
    <col min="8694" max="8694" width="36.42578125" style="196" customWidth="1"/>
    <col min="8695" max="8695" width="10.5703125" style="196" customWidth="1"/>
    <col min="8696" max="8699" width="11.42578125" style="196"/>
    <col min="8700" max="8700" width="19.42578125" style="196" customWidth="1"/>
    <col min="8701" max="8948" width="11.42578125" style="196"/>
    <col min="8949" max="8949" width="8.140625" style="196" customWidth="1"/>
    <col min="8950" max="8950" width="36.42578125" style="196" customWidth="1"/>
    <col min="8951" max="8951" width="10.5703125" style="196" customWidth="1"/>
    <col min="8952" max="8955" width="11.42578125" style="196"/>
    <col min="8956" max="8956" width="19.42578125" style="196" customWidth="1"/>
    <col min="8957" max="9204" width="11.42578125" style="196"/>
    <col min="9205" max="9205" width="8.140625" style="196" customWidth="1"/>
    <col min="9206" max="9206" width="36.42578125" style="196" customWidth="1"/>
    <col min="9207" max="9207" width="10.5703125" style="196" customWidth="1"/>
    <col min="9208" max="9211" width="11.42578125" style="196"/>
    <col min="9212" max="9212" width="19.42578125" style="196" customWidth="1"/>
    <col min="9213" max="9460" width="11.42578125" style="196"/>
    <col min="9461" max="9461" width="8.140625" style="196" customWidth="1"/>
    <col min="9462" max="9462" width="36.42578125" style="196" customWidth="1"/>
    <col min="9463" max="9463" width="10.5703125" style="196" customWidth="1"/>
    <col min="9464" max="9467" width="11.42578125" style="196"/>
    <col min="9468" max="9468" width="19.42578125" style="196" customWidth="1"/>
    <col min="9469" max="9716" width="11.42578125" style="196"/>
    <col min="9717" max="9717" width="8.140625" style="196" customWidth="1"/>
    <col min="9718" max="9718" width="36.42578125" style="196" customWidth="1"/>
    <col min="9719" max="9719" width="10.5703125" style="196" customWidth="1"/>
    <col min="9720" max="9723" width="11.42578125" style="196"/>
    <col min="9724" max="9724" width="19.42578125" style="196" customWidth="1"/>
    <col min="9725" max="9972" width="11.42578125" style="196"/>
    <col min="9973" max="9973" width="8.140625" style="196" customWidth="1"/>
    <col min="9974" max="9974" width="36.42578125" style="196" customWidth="1"/>
    <col min="9975" max="9975" width="10.5703125" style="196" customWidth="1"/>
    <col min="9976" max="9979" width="11.42578125" style="196"/>
    <col min="9980" max="9980" width="19.42578125" style="196" customWidth="1"/>
    <col min="9981" max="10228" width="11.42578125" style="196"/>
    <col min="10229" max="10229" width="8.140625" style="196" customWidth="1"/>
    <col min="10230" max="10230" width="36.42578125" style="196" customWidth="1"/>
    <col min="10231" max="10231" width="10.5703125" style="196" customWidth="1"/>
    <col min="10232" max="10235" width="11.42578125" style="196"/>
    <col min="10236" max="10236" width="19.42578125" style="196" customWidth="1"/>
    <col min="10237" max="10484" width="11.42578125" style="196"/>
    <col min="10485" max="10485" width="8.140625" style="196" customWidth="1"/>
    <col min="10486" max="10486" width="36.42578125" style="196" customWidth="1"/>
    <col min="10487" max="10487" width="10.5703125" style="196" customWidth="1"/>
    <col min="10488" max="10491" width="11.42578125" style="196"/>
    <col min="10492" max="10492" width="19.42578125" style="196" customWidth="1"/>
    <col min="10493" max="10740" width="11.42578125" style="196"/>
    <col min="10741" max="10741" width="8.140625" style="196" customWidth="1"/>
    <col min="10742" max="10742" width="36.42578125" style="196" customWidth="1"/>
    <col min="10743" max="10743" width="10.5703125" style="196" customWidth="1"/>
    <col min="10744" max="10747" width="11.42578125" style="196"/>
    <col min="10748" max="10748" width="19.42578125" style="196" customWidth="1"/>
    <col min="10749" max="10996" width="11.42578125" style="196"/>
    <col min="10997" max="10997" width="8.140625" style="196" customWidth="1"/>
    <col min="10998" max="10998" width="36.42578125" style="196" customWidth="1"/>
    <col min="10999" max="10999" width="10.5703125" style="196" customWidth="1"/>
    <col min="11000" max="11003" width="11.42578125" style="196"/>
    <col min="11004" max="11004" width="19.42578125" style="196" customWidth="1"/>
    <col min="11005" max="11252" width="11.42578125" style="196"/>
    <col min="11253" max="11253" width="8.140625" style="196" customWidth="1"/>
    <col min="11254" max="11254" width="36.42578125" style="196" customWidth="1"/>
    <col min="11255" max="11255" width="10.5703125" style="196" customWidth="1"/>
    <col min="11256" max="11259" width="11.42578125" style="196"/>
    <col min="11260" max="11260" width="19.42578125" style="196" customWidth="1"/>
    <col min="11261" max="11508" width="11.42578125" style="196"/>
    <col min="11509" max="11509" width="8.140625" style="196" customWidth="1"/>
    <col min="11510" max="11510" width="36.42578125" style="196" customWidth="1"/>
    <col min="11511" max="11511" width="10.5703125" style="196" customWidth="1"/>
    <col min="11512" max="11515" width="11.42578125" style="196"/>
    <col min="11516" max="11516" width="19.42578125" style="196" customWidth="1"/>
    <col min="11517" max="11764" width="11.42578125" style="196"/>
    <col min="11765" max="11765" width="8.140625" style="196" customWidth="1"/>
    <col min="11766" max="11766" width="36.42578125" style="196" customWidth="1"/>
    <col min="11767" max="11767" width="10.5703125" style="196" customWidth="1"/>
    <col min="11768" max="11771" width="11.42578125" style="196"/>
    <col min="11772" max="11772" width="19.42578125" style="196" customWidth="1"/>
    <col min="11773" max="12020" width="11.42578125" style="196"/>
    <col min="12021" max="12021" width="8.140625" style="196" customWidth="1"/>
    <col min="12022" max="12022" width="36.42578125" style="196" customWidth="1"/>
    <col min="12023" max="12023" width="10.5703125" style="196" customWidth="1"/>
    <col min="12024" max="12027" width="11.42578125" style="196"/>
    <col min="12028" max="12028" width="19.42578125" style="196" customWidth="1"/>
    <col min="12029" max="12276" width="11.42578125" style="196"/>
    <col min="12277" max="12277" width="8.140625" style="196" customWidth="1"/>
    <col min="12278" max="12278" width="36.42578125" style="196" customWidth="1"/>
    <col min="12279" max="12279" width="10.5703125" style="196" customWidth="1"/>
    <col min="12280" max="12283" width="11.42578125" style="196"/>
    <col min="12284" max="12284" width="19.42578125" style="196" customWidth="1"/>
    <col min="12285" max="12532" width="11.42578125" style="196"/>
    <col min="12533" max="12533" width="8.140625" style="196" customWidth="1"/>
    <col min="12534" max="12534" width="36.42578125" style="196" customWidth="1"/>
    <col min="12535" max="12535" width="10.5703125" style="196" customWidth="1"/>
    <col min="12536" max="12539" width="11.42578125" style="196"/>
    <col min="12540" max="12540" width="19.42578125" style="196" customWidth="1"/>
    <col min="12541" max="12788" width="11.42578125" style="196"/>
    <col min="12789" max="12789" width="8.140625" style="196" customWidth="1"/>
    <col min="12790" max="12790" width="36.42578125" style="196" customWidth="1"/>
    <col min="12791" max="12791" width="10.5703125" style="196" customWidth="1"/>
    <col min="12792" max="12795" width="11.42578125" style="196"/>
    <col min="12796" max="12796" width="19.42578125" style="196" customWidth="1"/>
    <col min="12797" max="13044" width="11.42578125" style="196"/>
    <col min="13045" max="13045" width="8.140625" style="196" customWidth="1"/>
    <col min="13046" max="13046" width="36.42578125" style="196" customWidth="1"/>
    <col min="13047" max="13047" width="10.5703125" style="196" customWidth="1"/>
    <col min="13048" max="13051" width="11.42578125" style="196"/>
    <col min="13052" max="13052" width="19.42578125" style="196" customWidth="1"/>
    <col min="13053" max="13300" width="11.42578125" style="196"/>
    <col min="13301" max="13301" width="8.140625" style="196" customWidth="1"/>
    <col min="13302" max="13302" width="36.42578125" style="196" customWidth="1"/>
    <col min="13303" max="13303" width="10.5703125" style="196" customWidth="1"/>
    <col min="13304" max="13307" width="11.42578125" style="196"/>
    <col min="13308" max="13308" width="19.42578125" style="196" customWidth="1"/>
    <col min="13309" max="13556" width="11.42578125" style="196"/>
    <col min="13557" max="13557" width="8.140625" style="196" customWidth="1"/>
    <col min="13558" max="13558" width="36.42578125" style="196" customWidth="1"/>
    <col min="13559" max="13559" width="10.5703125" style="196" customWidth="1"/>
    <col min="13560" max="13563" width="11.42578125" style="196"/>
    <col min="13564" max="13564" width="19.42578125" style="196" customWidth="1"/>
    <col min="13565" max="13812" width="11.42578125" style="196"/>
    <col min="13813" max="13813" width="8.140625" style="196" customWidth="1"/>
    <col min="13814" max="13814" width="36.42578125" style="196" customWidth="1"/>
    <col min="13815" max="13815" width="10.5703125" style="196" customWidth="1"/>
    <col min="13816" max="13819" width="11.42578125" style="196"/>
    <col min="13820" max="13820" width="19.42578125" style="196" customWidth="1"/>
    <col min="13821" max="14068" width="11.42578125" style="196"/>
    <col min="14069" max="14069" width="8.140625" style="196" customWidth="1"/>
    <col min="14070" max="14070" width="36.42578125" style="196" customWidth="1"/>
    <col min="14071" max="14071" width="10.5703125" style="196" customWidth="1"/>
    <col min="14072" max="14075" width="11.42578125" style="196"/>
    <col min="14076" max="14076" width="19.42578125" style="196" customWidth="1"/>
    <col min="14077" max="14324" width="11.42578125" style="196"/>
    <col min="14325" max="14325" width="8.140625" style="196" customWidth="1"/>
    <col min="14326" max="14326" width="36.42578125" style="196" customWidth="1"/>
    <col min="14327" max="14327" width="10.5703125" style="196" customWidth="1"/>
    <col min="14328" max="14331" width="11.42578125" style="196"/>
    <col min="14332" max="14332" width="19.42578125" style="196" customWidth="1"/>
    <col min="14333" max="14580" width="11.42578125" style="196"/>
    <col min="14581" max="14581" width="8.140625" style="196" customWidth="1"/>
    <col min="14582" max="14582" width="36.42578125" style="196" customWidth="1"/>
    <col min="14583" max="14583" width="10.5703125" style="196" customWidth="1"/>
    <col min="14584" max="14587" width="11.42578125" style="196"/>
    <col min="14588" max="14588" width="19.42578125" style="196" customWidth="1"/>
    <col min="14589" max="14836" width="11.42578125" style="196"/>
    <col min="14837" max="14837" width="8.140625" style="196" customWidth="1"/>
    <col min="14838" max="14838" width="36.42578125" style="196" customWidth="1"/>
    <col min="14839" max="14839" width="10.5703125" style="196" customWidth="1"/>
    <col min="14840" max="14843" width="11.42578125" style="196"/>
    <col min="14844" max="14844" width="19.42578125" style="196" customWidth="1"/>
    <col min="14845" max="15092" width="11.42578125" style="196"/>
    <col min="15093" max="15093" width="8.140625" style="196" customWidth="1"/>
    <col min="15094" max="15094" width="36.42578125" style="196" customWidth="1"/>
    <col min="15095" max="15095" width="10.5703125" style="196" customWidth="1"/>
    <col min="15096" max="15099" width="11.42578125" style="196"/>
    <col min="15100" max="15100" width="19.42578125" style="196" customWidth="1"/>
    <col min="15101" max="15348" width="11.42578125" style="196"/>
    <col min="15349" max="15349" width="8.140625" style="196" customWidth="1"/>
    <col min="15350" max="15350" width="36.42578125" style="196" customWidth="1"/>
    <col min="15351" max="15351" width="10.5703125" style="196" customWidth="1"/>
    <col min="15352" max="15355" width="11.42578125" style="196"/>
    <col min="15356" max="15356" width="19.42578125" style="196" customWidth="1"/>
    <col min="15357" max="15604" width="11.42578125" style="196"/>
    <col min="15605" max="15605" width="8.140625" style="196" customWidth="1"/>
    <col min="15606" max="15606" width="36.42578125" style="196" customWidth="1"/>
    <col min="15607" max="15607" width="10.5703125" style="196" customWidth="1"/>
    <col min="15608" max="15611" width="11.42578125" style="196"/>
    <col min="15612" max="15612" width="19.42578125" style="196" customWidth="1"/>
    <col min="15613" max="15860" width="11.42578125" style="196"/>
    <col min="15861" max="15861" width="8.140625" style="196" customWidth="1"/>
    <col min="15862" max="15862" width="36.42578125" style="196" customWidth="1"/>
    <col min="15863" max="15863" width="10.5703125" style="196" customWidth="1"/>
    <col min="15864" max="15867" width="11.42578125" style="196"/>
    <col min="15868" max="15868" width="19.42578125" style="196" customWidth="1"/>
    <col min="15869" max="16116" width="11.42578125" style="196"/>
    <col min="16117" max="16117" width="8.140625" style="196" customWidth="1"/>
    <col min="16118" max="16118" width="36.42578125" style="196" customWidth="1"/>
    <col min="16119" max="16119" width="10.5703125" style="196" customWidth="1"/>
    <col min="16120" max="16123" width="11.42578125" style="196"/>
    <col min="16124" max="16124" width="19.42578125" style="196" customWidth="1"/>
    <col min="16125" max="16372" width="11.42578125" style="196"/>
    <col min="16373" max="16381" width="11.42578125" style="196" customWidth="1"/>
    <col min="16382" max="16384" width="11.42578125" style="196"/>
  </cols>
  <sheetData>
    <row r="1" spans="1:8" ht="21.75" customHeight="1" thickBot="1">
      <c r="A1" s="1191" t="s">
        <v>273</v>
      </c>
      <c r="B1" s="1192"/>
      <c r="C1" s="1192"/>
      <c r="D1" s="1192"/>
      <c r="E1" s="1192"/>
      <c r="F1" s="1192"/>
      <c r="G1" s="1192"/>
      <c r="H1" s="1193"/>
    </row>
    <row r="2" spans="1:8" ht="33" customHeight="1" thickTop="1" thickBot="1">
      <c r="A2" s="221" t="s">
        <v>274</v>
      </c>
      <c r="B2" s="222" t="s">
        <v>275</v>
      </c>
      <c r="C2" s="223" t="s">
        <v>172</v>
      </c>
      <c r="D2" s="224" t="s">
        <v>276</v>
      </c>
      <c r="E2" s="222" t="s">
        <v>277</v>
      </c>
      <c r="F2" s="222" t="s">
        <v>278</v>
      </c>
      <c r="G2" s="225" t="s">
        <v>279</v>
      </c>
      <c r="H2" s="226" t="s">
        <v>280</v>
      </c>
    </row>
    <row r="3" spans="1:8" ht="13.5" thickTop="1">
      <c r="A3" s="227">
        <v>1</v>
      </c>
      <c r="B3" s="228" t="s">
        <v>281</v>
      </c>
      <c r="C3" s="229"/>
      <c r="D3" s="230"/>
      <c r="E3" s="231"/>
      <c r="F3" s="232"/>
      <c r="G3" s="232"/>
      <c r="H3" s="233"/>
    </row>
    <row r="4" spans="1:8">
      <c r="A4" s="234"/>
      <c r="B4" s="199" t="s">
        <v>282</v>
      </c>
      <c r="C4" s="563">
        <v>1</v>
      </c>
      <c r="D4" s="659">
        <v>7500000</v>
      </c>
      <c r="E4" s="655">
        <v>1.6004</v>
      </c>
      <c r="F4" s="202">
        <v>1</v>
      </c>
      <c r="G4" s="203">
        <v>10</v>
      </c>
      <c r="H4" s="1094">
        <f>ROUND(C4*D4*E4*F4*G4,0)</f>
        <v>120030000</v>
      </c>
    </row>
    <row r="5" spans="1:8">
      <c r="A5" s="234"/>
      <c r="B5" s="199" t="s">
        <v>283</v>
      </c>
      <c r="C5" s="563">
        <v>1</v>
      </c>
      <c r="D5" s="659">
        <v>5500000</v>
      </c>
      <c r="E5" s="655">
        <f>+$E$4</f>
        <v>1.6004</v>
      </c>
      <c r="F5" s="202">
        <v>1</v>
      </c>
      <c r="G5" s="203">
        <f>+$G$4</f>
        <v>10</v>
      </c>
      <c r="H5" s="1094">
        <f t="shared" ref="H5:H8" si="0">ROUND(C5*D5*E5*F5*G5,0)</f>
        <v>88022000</v>
      </c>
    </row>
    <row r="6" spans="1:8">
      <c r="A6" s="234"/>
      <c r="B6" s="204" t="s">
        <v>284</v>
      </c>
      <c r="C6" s="563">
        <v>1</v>
      </c>
      <c r="D6" s="404">
        <v>2500000</v>
      </c>
      <c r="E6" s="655">
        <f>+$E$4</f>
        <v>1.6004</v>
      </c>
      <c r="F6" s="202">
        <v>1</v>
      </c>
      <c r="G6" s="203">
        <f>+$G$4</f>
        <v>10</v>
      </c>
      <c r="H6" s="1094">
        <f t="shared" si="0"/>
        <v>40010000</v>
      </c>
    </row>
    <row r="7" spans="1:8">
      <c r="A7" s="234"/>
      <c r="B7" s="204" t="s">
        <v>690</v>
      </c>
      <c r="C7" s="563">
        <v>1</v>
      </c>
      <c r="D7" s="404">
        <f>3800000</f>
        <v>3800000</v>
      </c>
      <c r="E7" s="655">
        <f>+$E$4</f>
        <v>1.6004</v>
      </c>
      <c r="F7" s="202">
        <v>1</v>
      </c>
      <c r="G7" s="203">
        <f>+$G$4</f>
        <v>10</v>
      </c>
      <c r="H7" s="1094">
        <f t="shared" si="0"/>
        <v>60815200</v>
      </c>
    </row>
    <row r="8" spans="1:8">
      <c r="A8" s="234"/>
      <c r="B8" s="204" t="s">
        <v>691</v>
      </c>
      <c r="C8" s="563">
        <v>1</v>
      </c>
      <c r="D8" s="404">
        <v>3000000</v>
      </c>
      <c r="E8" s="655">
        <f>+$E$4</f>
        <v>1.6004</v>
      </c>
      <c r="F8" s="202">
        <v>1</v>
      </c>
      <c r="G8" s="203">
        <f>+$G$4</f>
        <v>10</v>
      </c>
      <c r="H8" s="1094">
        <f t="shared" si="0"/>
        <v>48012000</v>
      </c>
    </row>
    <row r="9" spans="1:8">
      <c r="A9" s="234"/>
      <c r="B9" s="204"/>
      <c r="C9" s="206"/>
      <c r="D9" s="205"/>
      <c r="E9" s="201"/>
      <c r="F9" s="207"/>
      <c r="G9" s="203"/>
      <c r="H9" s="1095"/>
    </row>
    <row r="10" spans="1:8">
      <c r="A10" s="227">
        <v>2</v>
      </c>
      <c r="B10" s="228" t="s">
        <v>285</v>
      </c>
      <c r="C10" s="229"/>
      <c r="D10" s="230"/>
      <c r="E10" s="231"/>
      <c r="F10" s="232"/>
      <c r="G10" s="232"/>
      <c r="H10" s="1096"/>
    </row>
    <row r="11" spans="1:8">
      <c r="A11" s="234"/>
      <c r="B11" s="565" t="s">
        <v>286</v>
      </c>
      <c r="C11" s="566">
        <v>1</v>
      </c>
      <c r="D11" s="328">
        <v>3170000</v>
      </c>
      <c r="E11" s="655">
        <f>+$E$4</f>
        <v>1.6004</v>
      </c>
      <c r="F11" s="202">
        <v>1</v>
      </c>
      <c r="G11" s="203">
        <f t="shared" ref="G11:G15" si="1">+$G$4</f>
        <v>10</v>
      </c>
      <c r="H11" s="1094">
        <f t="shared" ref="H11:H15" si="2">ROUND(C11*D11*E11*F11*G11,0)</f>
        <v>50732680</v>
      </c>
    </row>
    <row r="12" spans="1:8">
      <c r="A12" s="234"/>
      <c r="B12" s="565" t="s">
        <v>287</v>
      </c>
      <c r="C12" s="566">
        <v>2</v>
      </c>
      <c r="D12" s="564">
        <v>1300000</v>
      </c>
      <c r="E12" s="655">
        <v>1.7431000000000001</v>
      </c>
      <c r="F12" s="202">
        <v>1</v>
      </c>
      <c r="G12" s="203">
        <f t="shared" si="1"/>
        <v>10</v>
      </c>
      <c r="H12" s="1094">
        <f t="shared" si="2"/>
        <v>45320600</v>
      </c>
    </row>
    <row r="13" spans="1:8">
      <c r="A13" s="234"/>
      <c r="B13" s="565" t="s">
        <v>288</v>
      </c>
      <c r="C13" s="566">
        <v>1</v>
      </c>
      <c r="D13" s="567">
        <f>(16912565/2)</f>
        <v>8456282.5</v>
      </c>
      <c r="E13" s="201">
        <v>1</v>
      </c>
      <c r="F13" s="202">
        <v>1</v>
      </c>
      <c r="G13" s="203">
        <f t="shared" si="1"/>
        <v>10</v>
      </c>
      <c r="H13" s="1094">
        <f t="shared" si="2"/>
        <v>84562825</v>
      </c>
    </row>
    <row r="14" spans="1:8">
      <c r="A14" s="234"/>
      <c r="B14" s="565" t="s">
        <v>289</v>
      </c>
      <c r="C14" s="563">
        <v>1</v>
      </c>
      <c r="D14" s="564">
        <v>2300000</v>
      </c>
      <c r="E14" s="655">
        <f>+$E$12</f>
        <v>1.7431000000000001</v>
      </c>
      <c r="F14" s="202">
        <v>1</v>
      </c>
      <c r="G14" s="203">
        <f t="shared" si="1"/>
        <v>10</v>
      </c>
      <c r="H14" s="1094">
        <f t="shared" si="2"/>
        <v>40091300</v>
      </c>
    </row>
    <row r="15" spans="1:8">
      <c r="A15" s="234"/>
      <c r="B15" s="199" t="s">
        <v>763</v>
      </c>
      <c r="C15" s="563">
        <v>1</v>
      </c>
      <c r="D15" s="564">
        <v>1300000</v>
      </c>
      <c r="E15" s="655">
        <f>+$E$12</f>
        <v>1.7431000000000001</v>
      </c>
      <c r="F15" s="656">
        <v>1</v>
      </c>
      <c r="G15" s="203">
        <f t="shared" si="1"/>
        <v>10</v>
      </c>
      <c r="H15" s="1094">
        <f t="shared" si="2"/>
        <v>22660300</v>
      </c>
    </row>
    <row r="16" spans="1:8">
      <c r="A16" s="227">
        <v>3</v>
      </c>
      <c r="B16" s="228" t="s">
        <v>290</v>
      </c>
      <c r="C16" s="229"/>
      <c r="D16" s="230"/>
      <c r="E16" s="231"/>
      <c r="F16" s="232"/>
      <c r="G16" s="232"/>
      <c r="H16" s="1096"/>
    </row>
    <row r="17" spans="1:9">
      <c r="A17" s="234"/>
      <c r="B17" s="199" t="s">
        <v>291</v>
      </c>
      <c r="C17" s="563">
        <v>1</v>
      </c>
      <c r="D17" s="564">
        <v>1729928</v>
      </c>
      <c r="E17" s="201">
        <v>1.65</v>
      </c>
      <c r="F17" s="656">
        <v>0.2</v>
      </c>
      <c r="G17" s="203">
        <f>+$G$4</f>
        <v>10</v>
      </c>
      <c r="H17" s="1094">
        <f t="shared" ref="H17:H18" si="3">ROUND(C17*D17*E17*F17*G17,0)</f>
        <v>5708762</v>
      </c>
    </row>
    <row r="18" spans="1:9">
      <c r="A18" s="234"/>
      <c r="B18" s="199" t="s">
        <v>292</v>
      </c>
      <c r="C18" s="563">
        <v>1</v>
      </c>
      <c r="D18" s="564">
        <v>1924903</v>
      </c>
      <c r="E18" s="201">
        <v>1.65</v>
      </c>
      <c r="F18" s="656">
        <f>+F17</f>
        <v>0.2</v>
      </c>
      <c r="G18" s="203">
        <f>+$G$4</f>
        <v>10</v>
      </c>
      <c r="H18" s="1094">
        <f t="shared" si="3"/>
        <v>6352180</v>
      </c>
    </row>
    <row r="19" spans="1:9">
      <c r="A19" s="227">
        <v>4</v>
      </c>
      <c r="B19" s="235" t="s">
        <v>293</v>
      </c>
      <c r="C19" s="229"/>
      <c r="D19" s="230"/>
      <c r="E19" s="231"/>
      <c r="F19" s="232"/>
      <c r="G19" s="232"/>
      <c r="H19" s="1096"/>
    </row>
    <row r="20" spans="1:9">
      <c r="A20" s="236"/>
      <c r="B20" s="568" t="s">
        <v>765</v>
      </c>
      <c r="C20" s="206">
        <v>1</v>
      </c>
      <c r="D20" s="659">
        <v>750000</v>
      </c>
      <c r="E20" s="201">
        <v>1</v>
      </c>
      <c r="F20" s="201"/>
      <c r="G20" s="201">
        <v>1</v>
      </c>
      <c r="H20" s="1094">
        <f>ROUND(PRODUCT(C20:G20),0)</f>
        <v>750000</v>
      </c>
      <c r="I20" s="1105">
        <f>SUM(H20:H34)</f>
        <v>50533067</v>
      </c>
    </row>
    <row r="21" spans="1:9" ht="17.25" customHeight="1">
      <c r="A21" s="236"/>
      <c r="B21" s="568" t="s">
        <v>294</v>
      </c>
      <c r="C21" s="206">
        <v>1</v>
      </c>
      <c r="D21" s="659">
        <v>3000000</v>
      </c>
      <c r="E21" s="201">
        <v>1</v>
      </c>
      <c r="F21" s="201"/>
      <c r="G21" s="201">
        <v>1</v>
      </c>
      <c r="H21" s="1094">
        <f>ROUND(PRODUCT(C21:G21),0)</f>
        <v>3000000</v>
      </c>
    </row>
    <row r="22" spans="1:9">
      <c r="A22" s="227">
        <v>5</v>
      </c>
      <c r="B22" s="235" t="s">
        <v>295</v>
      </c>
      <c r="C22" s="229"/>
      <c r="D22" s="230"/>
      <c r="E22" s="231"/>
      <c r="F22" s="232"/>
      <c r="G22" s="232"/>
      <c r="H22" s="1096"/>
    </row>
    <row r="23" spans="1:9" ht="15.75" customHeight="1">
      <c r="A23" s="234"/>
      <c r="B23" s="199" t="s">
        <v>296</v>
      </c>
      <c r="C23" s="661">
        <f>+C4+C5+C6+C14+C15+C7+C8</f>
        <v>7</v>
      </c>
      <c r="D23" s="660">
        <v>250000</v>
      </c>
      <c r="E23" s="210"/>
      <c r="F23" s="210"/>
      <c r="G23" s="203">
        <f>+$G$4</f>
        <v>10</v>
      </c>
      <c r="H23" s="1097">
        <f t="shared" ref="H23:H25" si="4">ROUND(PRODUCT(C23:G23),0)</f>
        <v>17500000</v>
      </c>
    </row>
    <row r="24" spans="1:9" ht="15" customHeight="1">
      <c r="A24" s="234"/>
      <c r="B24" s="199" t="s">
        <v>297</v>
      </c>
      <c r="C24" s="661">
        <v>2</v>
      </c>
      <c r="D24" s="660">
        <v>300000</v>
      </c>
      <c r="E24" s="210"/>
      <c r="F24" s="210"/>
      <c r="G24" s="209"/>
      <c r="H24" s="1097">
        <f t="shared" si="4"/>
        <v>600000</v>
      </c>
    </row>
    <row r="25" spans="1:9" ht="16.5" customHeight="1">
      <c r="A25" s="234"/>
      <c r="B25" s="199" t="s">
        <v>298</v>
      </c>
      <c r="C25" s="566">
        <v>1</v>
      </c>
      <c r="D25" s="660">
        <v>50000</v>
      </c>
      <c r="E25" s="210"/>
      <c r="F25" s="210"/>
      <c r="G25" s="203">
        <f>+$G$4</f>
        <v>10</v>
      </c>
      <c r="H25" s="1097">
        <f t="shared" si="4"/>
        <v>500000</v>
      </c>
    </row>
    <row r="26" spans="1:9">
      <c r="A26" s="227">
        <v>6</v>
      </c>
      <c r="B26" s="235" t="s">
        <v>299</v>
      </c>
      <c r="C26" s="229"/>
      <c r="D26" s="230"/>
      <c r="E26" s="231"/>
      <c r="F26" s="232"/>
      <c r="G26" s="232"/>
      <c r="H26" s="1096"/>
    </row>
    <row r="27" spans="1:9" ht="16.5" customHeight="1">
      <c r="A27" s="234"/>
      <c r="B27" s="199" t="s">
        <v>300</v>
      </c>
      <c r="C27" s="662">
        <v>15</v>
      </c>
      <c r="D27" s="208">
        <v>200000</v>
      </c>
      <c r="E27" s="201"/>
      <c r="F27" s="201"/>
      <c r="G27" s="201"/>
      <c r="H27" s="1097">
        <f t="shared" ref="H27:H28" si="5">ROUND(PRODUCT(C27:G27),0)</f>
        <v>3000000</v>
      </c>
    </row>
    <row r="28" spans="1:9" ht="27" customHeight="1">
      <c r="A28" s="236"/>
      <c r="B28" s="199" t="s">
        <v>301</v>
      </c>
      <c r="C28" s="206">
        <v>1</v>
      </c>
      <c r="D28" s="660">
        <v>250000</v>
      </c>
      <c r="E28" s="201"/>
      <c r="F28" s="201"/>
      <c r="G28" s="203">
        <f>+$G$4</f>
        <v>10</v>
      </c>
      <c r="H28" s="1097">
        <f t="shared" si="5"/>
        <v>2500000</v>
      </c>
    </row>
    <row r="29" spans="1:9">
      <c r="A29" s="227">
        <v>8</v>
      </c>
      <c r="B29" s="398" t="s">
        <v>302</v>
      </c>
      <c r="C29" s="238"/>
      <c r="D29" s="230"/>
      <c r="E29" s="231"/>
      <c r="F29" s="232"/>
      <c r="G29" s="232"/>
      <c r="H29" s="1098"/>
    </row>
    <row r="30" spans="1:9" ht="15.75" customHeight="1">
      <c r="A30" s="234"/>
      <c r="B30" s="199" t="s">
        <v>303</v>
      </c>
      <c r="C30" s="206">
        <v>1</v>
      </c>
      <c r="D30" s="200">
        <v>70000</v>
      </c>
      <c r="E30" s="213"/>
      <c r="F30" s="213"/>
      <c r="G30" s="203">
        <f>+$G$4</f>
        <v>10</v>
      </c>
      <c r="H30" s="1099">
        <f>ROUND(PRODUCT(C30:G30),0)</f>
        <v>700000</v>
      </c>
    </row>
    <row r="31" spans="1:9">
      <c r="A31" s="227">
        <v>9</v>
      </c>
      <c r="B31" s="237" t="s">
        <v>304</v>
      </c>
      <c r="C31" s="229"/>
      <c r="D31" s="230"/>
      <c r="E31" s="231"/>
      <c r="F31" s="232"/>
      <c r="G31" s="232"/>
      <c r="H31" s="1096"/>
    </row>
    <row r="32" spans="1:9" ht="16.5" customHeight="1">
      <c r="A32" s="234"/>
      <c r="B32" s="568" t="s">
        <v>305</v>
      </c>
      <c r="C32" s="206">
        <v>1</v>
      </c>
      <c r="D32" s="660">
        <v>11983067</v>
      </c>
      <c r="E32" s="213"/>
      <c r="F32" s="213"/>
      <c r="G32" s="213"/>
      <c r="H32" s="1094">
        <f>ROUND(PRODUCT(C32:G32),0)</f>
        <v>11983067</v>
      </c>
    </row>
    <row r="33" spans="1:10">
      <c r="A33" s="227">
        <v>10</v>
      </c>
      <c r="B33" s="237" t="s">
        <v>306</v>
      </c>
      <c r="C33" s="229"/>
      <c r="D33" s="230"/>
      <c r="E33" s="231"/>
      <c r="F33" s="232"/>
      <c r="G33" s="232"/>
      <c r="H33" s="1096"/>
    </row>
    <row r="34" spans="1:10" ht="65.25" customHeight="1">
      <c r="A34" s="234"/>
      <c r="B34" s="569" t="s">
        <v>307</v>
      </c>
      <c r="C34" s="206" t="s">
        <v>308</v>
      </c>
      <c r="D34" s="213">
        <v>1</v>
      </c>
      <c r="E34" s="201"/>
      <c r="F34" s="201"/>
      <c r="G34" s="201"/>
      <c r="H34" s="1100">
        <v>10000000</v>
      </c>
    </row>
    <row r="35" spans="1:10">
      <c r="A35" s="239"/>
      <c r="B35" s="214" t="s">
        <v>309</v>
      </c>
      <c r="C35" s="215"/>
      <c r="D35" s="216"/>
      <c r="E35" s="217"/>
      <c r="F35" s="217"/>
      <c r="G35" s="218"/>
      <c r="H35" s="1101">
        <f>ROUND(SUM(H4:H34),0)</f>
        <v>662850914</v>
      </c>
    </row>
    <row r="36" spans="1:10">
      <c r="A36" s="234"/>
      <c r="B36" s="219" t="s">
        <v>310</v>
      </c>
      <c r="C36" s="220"/>
      <c r="D36" s="401"/>
      <c r="E36" s="402"/>
      <c r="F36" s="402"/>
      <c r="G36" s="403"/>
      <c r="H36" s="1102">
        <f>+PRESUPUESTO!F221</f>
        <v>6080544974</v>
      </c>
    </row>
    <row r="37" spans="1:10">
      <c r="A37" s="234"/>
      <c r="B37" s="219" t="s">
        <v>106</v>
      </c>
      <c r="C37" s="407">
        <f>+ROUND(H35/H36,4)</f>
        <v>0.109</v>
      </c>
      <c r="D37" s="404"/>
      <c r="E37" s="405"/>
      <c r="F37" s="405"/>
      <c r="G37" s="406"/>
      <c r="H37" s="1102">
        <f>+H35</f>
        <v>662850914</v>
      </c>
      <c r="J37" s="1106"/>
    </row>
    <row r="38" spans="1:10">
      <c r="A38" s="234"/>
      <c r="B38" s="219" t="s">
        <v>108</v>
      </c>
      <c r="C38" s="408">
        <v>0.05</v>
      </c>
      <c r="D38" s="404"/>
      <c r="E38" s="409"/>
      <c r="F38" s="405"/>
      <c r="G38" s="406"/>
      <c r="H38" s="1102">
        <f>ROUND(H36*C38,0)</f>
        <v>304027249</v>
      </c>
      <c r="J38" s="1087"/>
    </row>
    <row r="39" spans="1:10" ht="16.5" customHeight="1" thickBot="1">
      <c r="A39" s="234"/>
      <c r="B39" s="219" t="s">
        <v>311</v>
      </c>
      <c r="C39" s="407">
        <f>SUM(C37:C38)</f>
        <v>0.159</v>
      </c>
      <c r="D39" s="401"/>
      <c r="E39" s="402"/>
      <c r="F39" s="402"/>
      <c r="G39" s="403"/>
      <c r="H39" s="1103">
        <f>+H37+H38</f>
        <v>966878163</v>
      </c>
      <c r="J39" s="1087"/>
    </row>
    <row r="40" spans="1:10" ht="16.5" customHeight="1" thickBot="1">
      <c r="A40" s="234"/>
      <c r="B40" s="1194" t="s">
        <v>648</v>
      </c>
      <c r="C40" s="1195"/>
      <c r="D40" s="1195"/>
      <c r="E40" s="1195"/>
      <c r="F40" s="1195"/>
      <c r="G40" s="1196"/>
      <c r="H40" s="1104">
        <f>SUM( H36+H39)</f>
        <v>7047423137</v>
      </c>
    </row>
    <row r="41" spans="1:10" hidden="1">
      <c r="A41" s="234"/>
      <c r="B41" s="1194" t="s">
        <v>1103</v>
      </c>
      <c r="C41" s="1195"/>
      <c r="D41" s="1195"/>
      <c r="E41" s="1195"/>
      <c r="F41" s="1195"/>
      <c r="G41" s="1195"/>
      <c r="H41" s="1093"/>
    </row>
  </sheetData>
  <mergeCells count="3">
    <mergeCell ref="A1:H1"/>
    <mergeCell ref="B40:G40"/>
    <mergeCell ref="B41:G41"/>
  </mergeCells>
  <printOptions horizontalCentered="1"/>
  <pageMargins left="0.70866141732283472" right="0.70866141732283472" top="1.0629921259842521" bottom="0.74803149606299213" header="0.31496062992125984" footer="0.31496062992125984"/>
  <pageSetup scale="60" fitToHeight="0" orientation="portrait" r:id="rId1"/>
  <headerFooter>
    <oddHeader>&amp;L&amp;G&amp;C&amp;18PRESUPUESTO PARQUE COPACABANA&amp;R&amp;G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A127B-FEF7-4D33-B541-5DC26319C873}">
  <sheetPr>
    <tabColor theme="1"/>
  </sheetPr>
  <dimension ref="A1:L48"/>
  <sheetViews>
    <sheetView tabSelected="1" view="pageBreakPreview" topLeftCell="A35" zoomScale="110" zoomScaleNormal="115" zoomScaleSheetLayoutView="110" workbookViewId="0">
      <selection activeCell="E53" sqref="E53"/>
    </sheetView>
  </sheetViews>
  <sheetFormatPr baseColWidth="10" defaultColWidth="11.5703125" defaultRowHeight="16.5"/>
  <cols>
    <col min="1" max="1" width="19.7109375" style="570" customWidth="1"/>
    <col min="2" max="2" width="22.5703125" style="593" customWidth="1"/>
    <col min="3" max="3" width="12" style="594" customWidth="1"/>
    <col min="4" max="4" width="11.28515625" style="594" customWidth="1"/>
    <col min="5" max="5" width="11.5703125" style="594" bestFit="1"/>
    <col min="6" max="6" width="11.5703125" style="594" customWidth="1"/>
    <col min="7" max="7" width="21.7109375" style="594" customWidth="1"/>
    <col min="8" max="8" width="19.42578125" style="570" customWidth="1"/>
    <col min="9" max="10" width="15" style="570" bestFit="1" customWidth="1"/>
    <col min="11" max="16384" width="11.5703125" style="570"/>
  </cols>
  <sheetData>
    <row r="1" spans="1:8" ht="20.25">
      <c r="A1" s="1208" t="s">
        <v>1295</v>
      </c>
      <c r="B1" s="1208"/>
      <c r="C1" s="1208"/>
      <c r="D1" s="1208"/>
      <c r="E1" s="1208"/>
      <c r="F1" s="1208"/>
      <c r="G1" s="1208"/>
      <c r="H1" s="1208"/>
    </row>
    <row r="2" spans="1:8">
      <c r="A2" s="599" t="s">
        <v>705</v>
      </c>
      <c r="B2" s="1209" t="s">
        <v>24</v>
      </c>
      <c r="C2" s="1210"/>
      <c r="D2" s="1210"/>
      <c r="E2" s="1210"/>
      <c r="F2" s="1210"/>
      <c r="G2" s="1210"/>
      <c r="H2" s="1211"/>
    </row>
    <row r="3" spans="1:8" ht="36.6" customHeight="1">
      <c r="A3" s="599" t="s">
        <v>706</v>
      </c>
      <c r="B3" s="1200" t="str">
        <f>+PRESUPUESTO!C8</f>
        <v>RENOVACIÓN DEL PARQUE PRINCIPAL DEL MUNICIPIO DE COPACABANA - ANTIOQUIA</v>
      </c>
      <c r="C3" s="1200"/>
      <c r="D3" s="1200"/>
      <c r="E3" s="1200"/>
      <c r="F3" s="1200"/>
      <c r="G3" s="1200"/>
      <c r="H3" s="1200"/>
    </row>
    <row r="4" spans="1:8">
      <c r="A4" s="600" t="s">
        <v>707</v>
      </c>
      <c r="B4" s="573">
        <v>9</v>
      </c>
      <c r="C4" s="573" t="s">
        <v>708</v>
      </c>
      <c r="D4" s="642"/>
      <c r="E4" s="573">
        <v>2025</v>
      </c>
      <c r="F4" s="573" t="s">
        <v>709</v>
      </c>
      <c r="G4" s="642"/>
      <c r="H4" s="573">
        <v>2025</v>
      </c>
    </row>
    <row r="5" spans="1:8">
      <c r="A5" s="1212"/>
      <c r="B5" s="1212"/>
      <c r="C5" s="1212"/>
      <c r="D5" s="1212"/>
      <c r="E5" s="1212"/>
      <c r="F5" s="1212"/>
      <c r="G5" s="1212"/>
      <c r="H5" s="1212"/>
    </row>
    <row r="6" spans="1:8" ht="49.5">
      <c r="A6" s="643" t="s">
        <v>710</v>
      </c>
      <c r="B6" s="644" t="s">
        <v>711</v>
      </c>
      <c r="C6" s="643" t="s">
        <v>712</v>
      </c>
      <c r="D6" s="618" t="s">
        <v>9</v>
      </c>
      <c r="E6" s="618" t="s">
        <v>10</v>
      </c>
      <c r="F6" s="643" t="s">
        <v>713</v>
      </c>
      <c r="G6" s="618" t="s">
        <v>714</v>
      </c>
      <c r="H6" s="618" t="s">
        <v>715</v>
      </c>
    </row>
    <row r="7" spans="1:8">
      <c r="A7" s="1202" t="s">
        <v>716</v>
      </c>
      <c r="B7" s="1202"/>
      <c r="C7" s="1202"/>
      <c r="D7" s="1202"/>
      <c r="E7" s="1202"/>
      <c r="F7" s="1202"/>
      <c r="G7" s="1202"/>
      <c r="H7" s="1202"/>
    </row>
    <row r="8" spans="1:8" ht="33">
      <c r="A8" s="571" t="s">
        <v>717</v>
      </c>
      <c r="B8" s="574" t="s">
        <v>718</v>
      </c>
      <c r="C8" s="575">
        <f>+$B$4</f>
        <v>9</v>
      </c>
      <c r="D8" s="575" t="s">
        <v>719</v>
      </c>
      <c r="E8" s="575">
        <v>1</v>
      </c>
      <c r="F8" s="576">
        <v>1</v>
      </c>
      <c r="G8" s="663"/>
      <c r="H8" s="578">
        <f>C8*F8*G8</f>
        <v>0</v>
      </c>
    </row>
    <row r="9" spans="1:8" ht="33">
      <c r="A9" s="571" t="s">
        <v>720</v>
      </c>
      <c r="B9" s="579" t="s">
        <v>718</v>
      </c>
      <c r="C9" s="575">
        <f>+$C$8</f>
        <v>9</v>
      </c>
      <c r="D9" s="575" t="s">
        <v>719</v>
      </c>
      <c r="E9" s="575">
        <v>1</v>
      </c>
      <c r="F9" s="576">
        <v>1</v>
      </c>
      <c r="G9" s="663"/>
      <c r="H9" s="578">
        <f>C9*F9*G9</f>
        <v>0</v>
      </c>
    </row>
    <row r="10" spans="1:8" s="583" customFormat="1" ht="49.5">
      <c r="A10" s="580" t="s">
        <v>721</v>
      </c>
      <c r="B10" s="581" t="s">
        <v>722</v>
      </c>
      <c r="C10" s="575">
        <f t="shared" ref="C10:C12" si="0">+$C$8</f>
        <v>9</v>
      </c>
      <c r="D10" s="577" t="s">
        <v>719</v>
      </c>
      <c r="E10" s="582">
        <v>1</v>
      </c>
      <c r="F10" s="576">
        <v>1</v>
      </c>
      <c r="G10" s="663"/>
      <c r="H10" s="578">
        <f>C10*F10*G10</f>
        <v>0</v>
      </c>
    </row>
    <row r="11" spans="1:8" s="583" customFormat="1" ht="22.15" customHeight="1">
      <c r="A11" s="580" t="s">
        <v>690</v>
      </c>
      <c r="B11" s="581" t="s">
        <v>690</v>
      </c>
      <c r="C11" s="575">
        <f t="shared" si="0"/>
        <v>9</v>
      </c>
      <c r="D11" s="577" t="s">
        <v>719</v>
      </c>
      <c r="E11" s="582">
        <v>1</v>
      </c>
      <c r="F11" s="576">
        <v>1</v>
      </c>
      <c r="G11" s="663"/>
      <c r="H11" s="578">
        <f>C11*F11*G11</f>
        <v>0</v>
      </c>
    </row>
    <row r="12" spans="1:8" s="583" customFormat="1" ht="22.15" customHeight="1">
      <c r="A12" s="580" t="s">
        <v>768</v>
      </c>
      <c r="B12" s="581" t="s">
        <v>768</v>
      </c>
      <c r="C12" s="575">
        <f t="shared" si="0"/>
        <v>9</v>
      </c>
      <c r="D12" s="577" t="s">
        <v>719</v>
      </c>
      <c r="E12" s="582">
        <v>1</v>
      </c>
      <c r="F12" s="576">
        <v>1</v>
      </c>
      <c r="G12" s="663"/>
      <c r="H12" s="578">
        <f>C12*F12*G12</f>
        <v>0</v>
      </c>
    </row>
    <row r="13" spans="1:8" ht="21.6" customHeight="1">
      <c r="A13" s="584" t="s">
        <v>723</v>
      </c>
      <c r="B13" s="574" t="s">
        <v>724</v>
      </c>
      <c r="C13" s="979">
        <f>+C8-1</f>
        <v>8</v>
      </c>
      <c r="D13" s="585" t="s">
        <v>719</v>
      </c>
      <c r="E13" s="575">
        <v>1</v>
      </c>
      <c r="F13" s="576">
        <v>1</v>
      </c>
      <c r="G13" s="663"/>
      <c r="H13" s="578">
        <f>+C13*E13*F13*G13</f>
        <v>0</v>
      </c>
    </row>
    <row r="14" spans="1:8">
      <c r="A14" s="1197" t="s">
        <v>725</v>
      </c>
      <c r="B14" s="1197"/>
      <c r="C14" s="1197"/>
      <c r="D14" s="1197"/>
      <c r="E14" s="1197"/>
      <c r="F14" s="1197"/>
      <c r="G14" s="1197"/>
      <c r="H14" s="586">
        <f>SUM(H7:H13)</f>
        <v>0</v>
      </c>
    </row>
    <row r="15" spans="1:8">
      <c r="A15" s="1197" t="s">
        <v>726</v>
      </c>
      <c r="B15" s="1197"/>
      <c r="C15" s="1197"/>
      <c r="D15" s="1197"/>
      <c r="E15" s="1197"/>
      <c r="F15" s="1197"/>
      <c r="G15" s="1197"/>
      <c r="H15" s="982">
        <f>ROUND(+'FACTOR MULTIPLICADOR'!H33,2)</f>
        <v>2.0099999999999998</v>
      </c>
    </row>
    <row r="16" spans="1:8">
      <c r="A16" s="587" t="s">
        <v>727</v>
      </c>
      <c r="B16" s="588"/>
      <c r="C16" s="589"/>
      <c r="D16" s="589"/>
      <c r="E16" s="589"/>
      <c r="F16" s="589"/>
      <c r="G16" s="590"/>
      <c r="H16" s="595">
        <f>H14*H15-H14</f>
        <v>0</v>
      </c>
    </row>
    <row r="17" spans="1:8">
      <c r="A17" s="1205" t="s">
        <v>23</v>
      </c>
      <c r="B17" s="1206"/>
      <c r="C17" s="1206"/>
      <c r="D17" s="1206"/>
      <c r="E17" s="1206"/>
      <c r="F17" s="1206"/>
      <c r="G17" s="1207"/>
      <c r="H17" s="596">
        <f>H14+H16</f>
        <v>0</v>
      </c>
    </row>
    <row r="18" spans="1:8">
      <c r="A18" s="1202" t="s">
        <v>728</v>
      </c>
      <c r="B18" s="1202"/>
      <c r="C18" s="1202"/>
      <c r="D18" s="1202"/>
      <c r="E18" s="1202"/>
      <c r="F18" s="1202"/>
      <c r="G18" s="1202"/>
      <c r="H18" s="1202"/>
    </row>
    <row r="19" spans="1:8">
      <c r="A19" s="1203" t="s">
        <v>729</v>
      </c>
      <c r="B19" s="1203"/>
      <c r="C19" s="575">
        <f>+$C$8</f>
        <v>9</v>
      </c>
      <c r="D19" s="573" t="s">
        <v>719</v>
      </c>
      <c r="E19" s="573">
        <v>1</v>
      </c>
      <c r="F19" s="591">
        <v>1</v>
      </c>
      <c r="G19" s="983"/>
      <c r="H19" s="592">
        <f t="shared" ref="H19:H24" si="1">+C19*E19*F19*G19</f>
        <v>0</v>
      </c>
    </row>
    <row r="20" spans="1:8">
      <c r="A20" s="1198" t="s">
        <v>730</v>
      </c>
      <c r="B20" s="1199"/>
      <c r="C20" s="575">
        <f>+$C$8</f>
        <v>9</v>
      </c>
      <c r="D20" s="573" t="s">
        <v>719</v>
      </c>
      <c r="E20" s="573">
        <v>1</v>
      </c>
      <c r="F20" s="591">
        <v>1</v>
      </c>
      <c r="G20" s="983"/>
      <c r="H20" s="592">
        <f t="shared" si="1"/>
        <v>0</v>
      </c>
    </row>
    <row r="21" spans="1:8">
      <c r="A21" s="1198" t="s">
        <v>731</v>
      </c>
      <c r="B21" s="1199"/>
      <c r="C21" s="575">
        <f>+$C$8</f>
        <v>9</v>
      </c>
      <c r="D21" s="573" t="s">
        <v>719</v>
      </c>
      <c r="E21" s="573">
        <v>1</v>
      </c>
      <c r="F21" s="591">
        <v>1</v>
      </c>
      <c r="G21" s="983"/>
      <c r="H21" s="592">
        <f t="shared" si="1"/>
        <v>0</v>
      </c>
    </row>
    <row r="22" spans="1:8">
      <c r="A22" s="1198" t="s">
        <v>1102</v>
      </c>
      <c r="B22" s="1199"/>
      <c r="C22" s="575">
        <f>+$C$8</f>
        <v>9</v>
      </c>
      <c r="D22" s="573" t="s">
        <v>719</v>
      </c>
      <c r="E22" s="575">
        <f>SUM($E$8:$E$13)</f>
        <v>6</v>
      </c>
      <c r="F22" s="591">
        <v>1</v>
      </c>
      <c r="G22" s="983"/>
      <c r="H22" s="592">
        <f t="shared" si="1"/>
        <v>0</v>
      </c>
    </row>
    <row r="23" spans="1:8" s="583" customFormat="1" ht="27" customHeight="1">
      <c r="A23" s="1200" t="s">
        <v>294</v>
      </c>
      <c r="B23" s="1200"/>
      <c r="C23" s="575">
        <v>1</v>
      </c>
      <c r="D23" s="575" t="s">
        <v>719</v>
      </c>
      <c r="E23" s="575">
        <f>SUM($E$8:$E$13)</f>
        <v>6</v>
      </c>
      <c r="F23" s="646">
        <v>1</v>
      </c>
      <c r="G23" s="980"/>
      <c r="H23" s="578">
        <f t="shared" si="1"/>
        <v>0</v>
      </c>
    </row>
    <row r="24" spans="1:8" ht="13.15" customHeight="1">
      <c r="A24" s="1203" t="s">
        <v>1100</v>
      </c>
      <c r="B24" s="1203"/>
      <c r="C24" s="575">
        <v>1</v>
      </c>
      <c r="D24" s="573" t="s">
        <v>719</v>
      </c>
      <c r="E24" s="573">
        <v>1</v>
      </c>
      <c r="F24" s="591">
        <v>1</v>
      </c>
      <c r="G24" s="983"/>
      <c r="H24" s="592">
        <f t="shared" si="1"/>
        <v>0</v>
      </c>
    </row>
    <row r="25" spans="1:8" s="583" customFormat="1" ht="79.5" customHeight="1">
      <c r="A25" s="1201" t="s">
        <v>1281</v>
      </c>
      <c r="B25" s="1201"/>
      <c r="C25" s="575">
        <v>1</v>
      </c>
      <c r="D25" s="575" t="s">
        <v>762</v>
      </c>
      <c r="E25" s="575">
        <v>1</v>
      </c>
      <c r="F25" s="646">
        <v>1</v>
      </c>
      <c r="G25" s="980"/>
      <c r="H25" s="578">
        <f>+C25*E25*F25*G25</f>
        <v>0</v>
      </c>
    </row>
    <row r="26" spans="1:8">
      <c r="A26" s="1197" t="s">
        <v>732</v>
      </c>
      <c r="B26" s="1197"/>
      <c r="C26" s="1197"/>
      <c r="D26" s="1197"/>
      <c r="E26" s="1197"/>
      <c r="F26" s="1197"/>
      <c r="G26" s="1197"/>
      <c r="H26" s="586">
        <f>SUM(H19:H25)</f>
        <v>0</v>
      </c>
    </row>
    <row r="27" spans="1:8" s="583" customFormat="1" ht="16.5" customHeight="1">
      <c r="A27" s="1204"/>
      <c r="B27" s="1204"/>
      <c r="C27" s="1204"/>
      <c r="D27" s="1204"/>
      <c r="E27" s="1204"/>
      <c r="F27" s="1204"/>
      <c r="G27" s="1204"/>
      <c r="H27" s="1204"/>
    </row>
    <row r="28" spans="1:8">
      <c r="A28" s="666"/>
      <c r="B28" s="666"/>
      <c r="C28" s="666"/>
      <c r="D28" s="666"/>
      <c r="E28" s="666"/>
      <c r="G28" s="666"/>
      <c r="H28" s="667"/>
    </row>
    <row r="29" spans="1:8">
      <c r="A29" s="1197" t="s">
        <v>734</v>
      </c>
      <c r="B29" s="1197"/>
      <c r="C29" s="1197"/>
      <c r="D29" s="1197"/>
      <c r="E29" s="1197"/>
      <c r="F29" s="1197"/>
      <c r="G29" s="1197"/>
      <c r="H29" s="597">
        <f>+H26+H17</f>
        <v>0</v>
      </c>
    </row>
    <row r="30" spans="1:8">
      <c r="A30" s="1205" t="s">
        <v>1282</v>
      </c>
      <c r="B30" s="1206"/>
      <c r="C30" s="1206"/>
      <c r="D30" s="1206"/>
      <c r="E30" s="1206"/>
      <c r="F30" s="1206"/>
      <c r="G30" s="1207"/>
      <c r="H30" s="597">
        <f>ROUND((H29)*0.19,0)</f>
        <v>0</v>
      </c>
    </row>
    <row r="31" spans="1:8">
      <c r="A31" s="1197" t="s">
        <v>733</v>
      </c>
      <c r="B31" s="1197"/>
      <c r="C31" s="1197"/>
      <c r="D31" s="1197"/>
      <c r="E31" s="1197"/>
      <c r="F31" s="1197"/>
      <c r="G31" s="1197"/>
      <c r="H31" s="645">
        <f>H29+H30</f>
        <v>0</v>
      </c>
    </row>
    <row r="32" spans="1:8">
      <c r="A32" s="666"/>
      <c r="B32" s="666"/>
      <c r="C32" s="666"/>
      <c r="D32" s="666"/>
      <c r="E32" s="666"/>
      <c r="G32" s="666"/>
      <c r="H32" s="667"/>
    </row>
    <row r="33" spans="1:12" s="583" customFormat="1" ht="31.5" customHeight="1">
      <c r="A33" s="1213" t="s">
        <v>1285</v>
      </c>
      <c r="B33" s="1214"/>
      <c r="C33" s="1214"/>
      <c r="D33" s="1214"/>
      <c r="E33" s="1214"/>
      <c r="F33" s="1215"/>
      <c r="G33" s="643" t="s">
        <v>1283</v>
      </c>
      <c r="H33" s="599"/>
    </row>
    <row r="34" spans="1:12">
      <c r="A34" s="1203" t="s">
        <v>766</v>
      </c>
      <c r="B34" s="1203"/>
      <c r="C34" s="985"/>
      <c r="D34" s="573"/>
      <c r="E34" s="573"/>
      <c r="F34" s="984">
        <v>0.02</v>
      </c>
      <c r="G34" s="577">
        <f>+$H$29</f>
        <v>0</v>
      </c>
      <c r="H34" s="577">
        <f t="shared" ref="H34:H39" si="2">ROUND(F34*G34,0)</f>
        <v>0</v>
      </c>
      <c r="I34" s="1108"/>
    </row>
    <row r="35" spans="1:12">
      <c r="A35" s="1203" t="s">
        <v>650</v>
      </c>
      <c r="B35" s="1203"/>
      <c r="C35" s="985"/>
      <c r="D35" s="573"/>
      <c r="E35" s="573"/>
      <c r="F35" s="984">
        <v>0.03</v>
      </c>
      <c r="G35" s="577">
        <f t="shared" ref="G35:G39" si="3">+$H$29</f>
        <v>0</v>
      </c>
      <c r="H35" s="577">
        <f t="shared" si="2"/>
        <v>0</v>
      </c>
      <c r="I35" s="1108"/>
    </row>
    <row r="36" spans="1:12">
      <c r="A36" s="1203" t="s">
        <v>767</v>
      </c>
      <c r="B36" s="1203"/>
      <c r="C36" s="985"/>
      <c r="D36" s="573"/>
      <c r="E36" s="573"/>
      <c r="F36" s="984">
        <v>1.4999999999999999E-2</v>
      </c>
      <c r="G36" s="577">
        <f t="shared" si="3"/>
        <v>0</v>
      </c>
      <c r="H36" s="577">
        <f t="shared" si="2"/>
        <v>0</v>
      </c>
      <c r="I36" s="1108"/>
    </row>
    <row r="37" spans="1:12">
      <c r="A37" s="1203" t="s">
        <v>651</v>
      </c>
      <c r="B37" s="1203"/>
      <c r="C37" s="985"/>
      <c r="D37" s="573"/>
      <c r="E37" s="573"/>
      <c r="F37" s="984">
        <v>5.0000000000000001E-3</v>
      </c>
      <c r="G37" s="577">
        <f t="shared" si="3"/>
        <v>0</v>
      </c>
      <c r="H37" s="577">
        <f t="shared" si="2"/>
        <v>0</v>
      </c>
      <c r="I37" s="1108"/>
    </row>
    <row r="38" spans="1:12">
      <c r="A38" s="1203" t="s">
        <v>649</v>
      </c>
      <c r="B38" s="1203"/>
      <c r="C38" s="985"/>
      <c r="D38" s="573"/>
      <c r="E38" s="573"/>
      <c r="F38" s="984">
        <v>0.01</v>
      </c>
      <c r="G38" s="577">
        <f t="shared" si="3"/>
        <v>0</v>
      </c>
      <c r="H38" s="577">
        <f t="shared" si="2"/>
        <v>0</v>
      </c>
      <c r="I38" s="1108"/>
    </row>
    <row r="39" spans="1:12">
      <c r="A39" s="1203" t="s">
        <v>1278</v>
      </c>
      <c r="B39" s="1203"/>
      <c r="C39" s="985"/>
      <c r="D39" s="573"/>
      <c r="E39" s="573"/>
      <c r="F39" s="984">
        <v>2E-3</v>
      </c>
      <c r="G39" s="577">
        <f t="shared" si="3"/>
        <v>0</v>
      </c>
      <c r="H39" s="577">
        <f t="shared" si="2"/>
        <v>0</v>
      </c>
      <c r="I39" s="1108"/>
    </row>
    <row r="40" spans="1:12">
      <c r="A40" s="1197" t="s">
        <v>1280</v>
      </c>
      <c r="B40" s="1197"/>
      <c r="C40" s="1197"/>
      <c r="D40" s="1197"/>
      <c r="E40" s="1197"/>
      <c r="F40" s="1197"/>
      <c r="G40" s="1197"/>
      <c r="H40" s="586">
        <f>SUM(H34:H39)</f>
        <v>0</v>
      </c>
      <c r="J40" s="1092"/>
    </row>
    <row r="41" spans="1:12">
      <c r="A41" s="1197" t="s">
        <v>1284</v>
      </c>
      <c r="B41" s="1197"/>
      <c r="C41" s="909"/>
      <c r="D41" s="909"/>
      <c r="E41" s="909"/>
      <c r="F41" s="984">
        <v>5.7000000000000002E-3</v>
      </c>
      <c r="G41" s="577">
        <f>+$H$29</f>
        <v>0</v>
      </c>
      <c r="H41" s="1107">
        <f t="shared" ref="H41" si="4">ROUND(F41*G41,0)</f>
        <v>0</v>
      </c>
      <c r="L41" s="668"/>
    </row>
    <row r="42" spans="1:12">
      <c r="A42" s="1202"/>
      <c r="B42" s="1202"/>
      <c r="C42" s="1202"/>
      <c r="D42" s="1202"/>
      <c r="E42" s="1202"/>
      <c r="F42" s="1202"/>
      <c r="G42" s="1202"/>
      <c r="H42" s="1202"/>
    </row>
    <row r="43" spans="1:12">
      <c r="A43" s="1197" t="s">
        <v>733</v>
      </c>
      <c r="B43" s="1197"/>
      <c r="C43" s="1197"/>
      <c r="D43" s="1197"/>
      <c r="E43" s="1197"/>
      <c r="F43" s="1197"/>
      <c r="G43" s="1197"/>
      <c r="H43" s="645">
        <f>+H31+H40+H41</f>
        <v>0</v>
      </c>
      <c r="I43" s="1109"/>
    </row>
    <row r="44" spans="1:12">
      <c r="H44" s="598"/>
      <c r="I44" s="1092"/>
    </row>
    <row r="47" spans="1:12">
      <c r="B47" s="666" t="s">
        <v>1296</v>
      </c>
    </row>
    <row r="48" spans="1:12">
      <c r="C48" s="570"/>
    </row>
  </sheetData>
  <mergeCells count="32">
    <mergeCell ref="A21:B21"/>
    <mergeCell ref="A34:B34"/>
    <mergeCell ref="A35:B35"/>
    <mergeCell ref="A36:B36"/>
    <mergeCell ref="A29:G29"/>
    <mergeCell ref="A24:B24"/>
    <mergeCell ref="A30:G30"/>
    <mergeCell ref="A31:G31"/>
    <mergeCell ref="A33:F33"/>
    <mergeCell ref="A14:G14"/>
    <mergeCell ref="A1:H1"/>
    <mergeCell ref="B2:H2"/>
    <mergeCell ref="B3:H3"/>
    <mergeCell ref="A5:H5"/>
    <mergeCell ref="A7:H7"/>
    <mergeCell ref="A15:G15"/>
    <mergeCell ref="A17:G17"/>
    <mergeCell ref="A18:H18"/>
    <mergeCell ref="A19:B19"/>
    <mergeCell ref="A20:B20"/>
    <mergeCell ref="A43:G43"/>
    <mergeCell ref="A22:B22"/>
    <mergeCell ref="A23:B23"/>
    <mergeCell ref="A25:B25"/>
    <mergeCell ref="A26:G26"/>
    <mergeCell ref="A42:H42"/>
    <mergeCell ref="A40:G40"/>
    <mergeCell ref="A38:B38"/>
    <mergeCell ref="A27:H27"/>
    <mergeCell ref="A41:B41"/>
    <mergeCell ref="A37:B37"/>
    <mergeCell ref="A39:B39"/>
  </mergeCells>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outlinePr summaryBelow="0" summaryRight="0"/>
    <pageSetUpPr fitToPage="1"/>
  </sheetPr>
  <dimension ref="A1:L275"/>
  <sheetViews>
    <sheetView view="pageBreakPreview" topLeftCell="A228" zoomScale="115" zoomScaleNormal="70" zoomScaleSheetLayoutView="115" workbookViewId="0">
      <selection activeCell="F247" sqref="F247"/>
    </sheetView>
  </sheetViews>
  <sheetFormatPr baseColWidth="10" defaultColWidth="9.140625" defaultRowHeight="12.75" outlineLevelRow="2"/>
  <cols>
    <col min="1" max="1" width="8" style="9" customWidth="1"/>
    <col min="2" max="2" width="46.7109375" style="724" customWidth="1"/>
    <col min="3" max="3" width="7.5703125" style="1" customWidth="1"/>
    <col min="4" max="4" width="13.28515625" style="332" customWidth="1"/>
    <col min="5" max="5" width="15" style="2" customWidth="1"/>
    <col min="6" max="6" width="19.140625" style="3" customWidth="1"/>
    <col min="7" max="7" width="14.140625" style="4" hidden="1" customWidth="1"/>
    <col min="8" max="8" width="28" style="4" hidden="1" customWidth="1"/>
    <col min="9" max="9" width="12.85546875" style="4" hidden="1" customWidth="1"/>
    <col min="10" max="10" width="11.28515625" style="4" bestFit="1" customWidth="1"/>
    <col min="11" max="11" width="9.140625" style="4"/>
    <col min="12" max="12" width="11.28515625" style="4" bestFit="1" customWidth="1"/>
    <col min="13" max="16384" width="9.140625" style="4"/>
  </cols>
  <sheetData>
    <row r="1" spans="1:8" ht="13.5" thickBot="1">
      <c r="A1" s="1"/>
    </row>
    <row r="2" spans="1:8">
      <c r="A2" s="1235"/>
      <c r="B2" s="1236"/>
      <c r="C2" s="1236"/>
      <c r="D2" s="1236"/>
      <c r="E2" s="1236"/>
      <c r="F2" s="1236"/>
      <c r="G2" s="1236"/>
      <c r="H2" s="1237"/>
    </row>
    <row r="3" spans="1:8">
      <c r="A3" s="1238"/>
      <c r="B3" s="1233"/>
      <c r="C3" s="1233"/>
      <c r="D3" s="1233"/>
      <c r="E3" s="1233"/>
      <c r="F3" s="1233"/>
      <c r="G3" s="1233"/>
      <c r="H3" s="1234"/>
    </row>
    <row r="4" spans="1:8">
      <c r="A4" s="1238"/>
      <c r="B4" s="1233"/>
      <c r="C4" s="1233"/>
      <c r="D4" s="1233"/>
      <c r="E4" s="1233"/>
      <c r="F4" s="1233"/>
      <c r="G4" s="1233"/>
      <c r="H4" s="1234"/>
    </row>
    <row r="5" spans="1:8">
      <c r="A5" s="1238"/>
      <c r="B5" s="1233"/>
      <c r="C5" s="1233"/>
      <c r="D5" s="1233"/>
      <c r="E5" s="1233"/>
      <c r="F5" s="1233"/>
      <c r="G5" s="1233"/>
      <c r="H5" s="1234"/>
    </row>
    <row r="6" spans="1:8">
      <c r="A6" s="1238"/>
      <c r="B6" s="1233"/>
      <c r="C6" s="1233"/>
      <c r="D6" s="1233"/>
      <c r="E6" s="1233"/>
      <c r="F6" s="1233"/>
      <c r="G6" s="1233"/>
      <c r="H6" s="1234"/>
    </row>
    <row r="7" spans="1:8" ht="14.25" customHeight="1" thickBot="1">
      <c r="A7" s="1239"/>
      <c r="B7" s="1240"/>
      <c r="C7" s="1240"/>
      <c r="D7" s="1240"/>
      <c r="E7" s="1240"/>
      <c r="F7" s="1240"/>
      <c r="G7" s="1240"/>
      <c r="H7" s="1241"/>
    </row>
    <row r="8" spans="1:8" ht="30" customHeight="1" thickTop="1">
      <c r="A8" s="1242" t="s">
        <v>0</v>
      </c>
      <c r="B8" s="1243"/>
      <c r="C8" s="1244" t="s">
        <v>1292</v>
      </c>
      <c r="D8" s="1244"/>
      <c r="E8" s="1244"/>
      <c r="F8" s="1244"/>
      <c r="G8" s="1244"/>
      <c r="H8" s="1245"/>
    </row>
    <row r="9" spans="1:8" ht="12.75" customHeight="1">
      <c r="A9" s="1223" t="s">
        <v>1</v>
      </c>
      <c r="B9" s="1224"/>
      <c r="C9" s="1225" t="s">
        <v>76</v>
      </c>
      <c r="D9" s="1225"/>
      <c r="E9" s="1225"/>
      <c r="F9" s="1225"/>
      <c r="G9" s="1225"/>
      <c r="H9" s="1226"/>
    </row>
    <row r="10" spans="1:8">
      <c r="A10" s="1231" t="s">
        <v>2</v>
      </c>
      <c r="B10" s="1232"/>
      <c r="C10" s="1233"/>
      <c r="D10" s="1233"/>
      <c r="E10" s="1233"/>
      <c r="F10" s="1233"/>
      <c r="G10" s="1233"/>
      <c r="H10" s="1234"/>
    </row>
    <row r="11" spans="1:8" ht="12.75" customHeight="1">
      <c r="A11" s="1223" t="s">
        <v>3</v>
      </c>
      <c r="B11" s="1224"/>
      <c r="C11" s="1225" t="s">
        <v>314</v>
      </c>
      <c r="D11" s="1225"/>
      <c r="E11" s="1225"/>
      <c r="F11" s="1225"/>
      <c r="G11" s="1225"/>
      <c r="H11" s="1226"/>
    </row>
    <row r="12" spans="1:8" ht="12.75" customHeight="1">
      <c r="A12" s="1223" t="s">
        <v>4</v>
      </c>
      <c r="B12" s="1224"/>
      <c r="C12" s="1225" t="s">
        <v>313</v>
      </c>
      <c r="D12" s="1225"/>
      <c r="E12" s="1225"/>
      <c r="F12" s="1225"/>
      <c r="G12" s="1225"/>
      <c r="H12" s="1226"/>
    </row>
    <row r="13" spans="1:8" ht="13.5" customHeight="1" thickBot="1">
      <c r="A13" s="1227" t="s">
        <v>5</v>
      </c>
      <c r="B13" s="1228"/>
      <c r="C13" s="1229" t="s">
        <v>647</v>
      </c>
      <c r="D13" s="1229"/>
      <c r="E13" s="1229"/>
      <c r="F13" s="1229"/>
      <c r="G13" s="1229"/>
      <c r="H13" s="1230"/>
    </row>
    <row r="14" spans="1:8" ht="13.5" thickBot="1">
      <c r="B14" s="725"/>
      <c r="C14" s="10"/>
      <c r="D14" s="333"/>
      <c r="E14" s="11"/>
      <c r="F14" s="11"/>
      <c r="G14" s="10"/>
      <c r="H14" s="10"/>
    </row>
    <row r="15" spans="1:8" ht="13.5" thickBot="1">
      <c r="A15" s="1220" t="s">
        <v>6</v>
      </c>
      <c r="B15" s="1221"/>
      <c r="C15" s="1221"/>
      <c r="D15" s="1221"/>
      <c r="E15" s="1221"/>
      <c r="F15" s="1221"/>
      <c r="G15" s="1221"/>
      <c r="H15" s="1222"/>
    </row>
    <row r="16" spans="1:8" ht="14.25" thickTop="1" thickBot="1">
      <c r="A16" s="12" t="s">
        <v>7</v>
      </c>
      <c r="B16" s="726" t="s">
        <v>8</v>
      </c>
      <c r="C16" s="13" t="s">
        <v>9</v>
      </c>
      <c r="D16" s="13" t="s">
        <v>10</v>
      </c>
      <c r="E16" s="14" t="s">
        <v>11</v>
      </c>
      <c r="F16" s="14" t="s">
        <v>12</v>
      </c>
      <c r="G16" s="6" t="s">
        <v>13</v>
      </c>
      <c r="H16" s="15" t="s">
        <v>14</v>
      </c>
    </row>
    <row r="17" spans="1:12" ht="13.5" thickBot="1">
      <c r="A17" s="16"/>
      <c r="B17" s="727"/>
      <c r="C17" s="17"/>
      <c r="D17" s="334"/>
      <c r="E17" s="18"/>
      <c r="F17" s="18"/>
      <c r="G17" s="17"/>
      <c r="H17" s="17"/>
    </row>
    <row r="18" spans="1:12" ht="13.5" thickBot="1">
      <c r="A18" s="846">
        <v>1</v>
      </c>
      <c r="B18" s="728" t="s">
        <v>15</v>
      </c>
      <c r="C18" s="21" t="s">
        <v>9</v>
      </c>
      <c r="D18" s="367" t="s">
        <v>10</v>
      </c>
      <c r="E18" s="23" t="s">
        <v>11</v>
      </c>
      <c r="F18" s="23" t="s">
        <v>12</v>
      </c>
      <c r="G18" s="24" t="s">
        <v>13</v>
      </c>
      <c r="H18" s="25" t="s">
        <v>14</v>
      </c>
    </row>
    <row r="19" spans="1:12" ht="13.5" outlineLevel="1" thickTop="1">
      <c r="A19" s="968" t="s">
        <v>147</v>
      </c>
      <c r="B19" s="972" t="s">
        <v>16</v>
      </c>
      <c r="C19" s="27"/>
      <c r="D19" s="335"/>
      <c r="E19" s="28"/>
      <c r="F19" s="28">
        <f>SUM(F20:F21)</f>
        <v>83203622</v>
      </c>
      <c r="G19" s="28"/>
      <c r="H19" s="29"/>
    </row>
    <row r="20" spans="1:12" s="9" customFormat="1" ht="27" customHeight="1" outlineLevel="2">
      <c r="A20" s="969" t="s">
        <v>17</v>
      </c>
      <c r="B20" s="973" t="s">
        <v>598</v>
      </c>
      <c r="C20" s="30" t="s">
        <v>118</v>
      </c>
      <c r="D20" s="390">
        <f>+D33*0.12</f>
        <v>288</v>
      </c>
      <c r="E20" s="688">
        <f>ROUND('1. APU PRELIMINARES'!H40,0)</f>
        <v>239419</v>
      </c>
      <c r="F20" s="1155">
        <f t="shared" ref="F20:F21" si="0">ROUND(+E20*D20,0)</f>
        <v>68952672</v>
      </c>
      <c r="G20" s="368">
        <f>+F20/$F$221</f>
        <v>1.1339883562219665E-2</v>
      </c>
      <c r="H20" s="31"/>
      <c r="I20" s="4"/>
      <c r="J20" s="4"/>
      <c r="K20" s="4"/>
      <c r="L20" s="4"/>
    </row>
    <row r="21" spans="1:12" s="9" customFormat="1" ht="27" customHeight="1" outlineLevel="2">
      <c r="A21" s="969" t="s">
        <v>18</v>
      </c>
      <c r="B21" s="973" t="s">
        <v>597</v>
      </c>
      <c r="C21" s="30" t="s">
        <v>118</v>
      </c>
      <c r="D21" s="390">
        <v>50</v>
      </c>
      <c r="E21" s="688">
        <f>ROUND('1. APU PRELIMINARES'!H88,0)</f>
        <v>285019</v>
      </c>
      <c r="F21" s="1155">
        <f t="shared" si="0"/>
        <v>14250950</v>
      </c>
      <c r="G21" s="368">
        <f>+F21/$F$221</f>
        <v>2.3436961754145559E-3</v>
      </c>
      <c r="H21" s="32"/>
      <c r="I21" s="4"/>
      <c r="J21" s="4"/>
      <c r="K21" s="4"/>
      <c r="L21" s="4"/>
    </row>
    <row r="22" spans="1:12" outlineLevel="1" collapsed="1">
      <c r="A22" s="970" t="s">
        <v>148</v>
      </c>
      <c r="B22" s="974" t="s">
        <v>20</v>
      </c>
      <c r="C22" s="33"/>
      <c r="D22" s="336"/>
      <c r="E22" s="34"/>
      <c r="F22" s="34">
        <f>SUM(F23:F25)</f>
        <v>49542505</v>
      </c>
      <c r="G22" s="34"/>
      <c r="H22" s="35"/>
    </row>
    <row r="23" spans="1:12" ht="25.5" outlineLevel="1">
      <c r="A23" s="971" t="s">
        <v>21</v>
      </c>
      <c r="B23" s="975" t="s">
        <v>652</v>
      </c>
      <c r="C23" s="5" t="s">
        <v>28</v>
      </c>
      <c r="D23" s="337">
        <v>360</v>
      </c>
      <c r="E23" s="670">
        <f>ROUND('1. APU PRELIMINARES'!H128,0)</f>
        <v>33053</v>
      </c>
      <c r="F23" s="1155">
        <f>ROUND(+E23*D23,0)</f>
        <v>11899080</v>
      </c>
      <c r="G23" s="369">
        <f>+F23/$F$221</f>
        <v>1.956910120865755E-3</v>
      </c>
      <c r="H23" s="976"/>
    </row>
    <row r="24" spans="1:12" ht="51" outlineLevel="1">
      <c r="A24" s="971" t="s">
        <v>22</v>
      </c>
      <c r="B24" s="975" t="s">
        <v>773</v>
      </c>
      <c r="C24" s="5" t="s">
        <v>325</v>
      </c>
      <c r="D24" s="337">
        <v>15</v>
      </c>
      <c r="E24" s="670">
        <f>ROUND('1. APU PRELIMINARES'!H175,0)</f>
        <v>764975</v>
      </c>
      <c r="F24" s="1155">
        <f t="shared" ref="F24:F25" si="1">ROUND(+E24*D24,0)</f>
        <v>11474625</v>
      </c>
      <c r="G24" s="369">
        <f>+F24/$F$221</f>
        <v>1.8871047001649888E-3</v>
      </c>
      <c r="H24" s="976"/>
    </row>
    <row r="25" spans="1:12" s="657" customFormat="1" ht="40.15" customHeight="1" outlineLevel="1" thickBot="1">
      <c r="A25" s="971" t="s">
        <v>764</v>
      </c>
      <c r="B25" s="977" t="s">
        <v>1099</v>
      </c>
      <c r="C25" s="7" t="s">
        <v>19</v>
      </c>
      <c r="D25" s="338">
        <v>80</v>
      </c>
      <c r="E25" s="680">
        <v>327110</v>
      </c>
      <c r="F25" s="1156">
        <f t="shared" si="1"/>
        <v>26168800</v>
      </c>
      <c r="G25" s="370">
        <f>+F25/$F$221</f>
        <v>4.3036931906426188E-3</v>
      </c>
      <c r="H25" s="978"/>
      <c r="I25" s="658"/>
    </row>
    <row r="26" spans="1:12" ht="13.5" collapsed="1" thickBot="1">
      <c r="A26" s="42" t="s">
        <v>23</v>
      </c>
      <c r="B26" s="731" t="s">
        <v>24</v>
      </c>
      <c r="C26" s="43"/>
      <c r="D26" s="339"/>
      <c r="E26" s="44"/>
      <c r="F26" s="1157">
        <f>F19+F22</f>
        <v>132746127</v>
      </c>
      <c r="G26" s="45">
        <f>F26/$F$221</f>
        <v>2.1831287749307583E-2</v>
      </c>
      <c r="H26" s="46"/>
    </row>
    <row r="27" spans="1:12" ht="13.5" thickBot="1">
      <c r="B27" s="724" t="s">
        <v>24</v>
      </c>
      <c r="E27" s="38"/>
      <c r="F27" s="36" t="s">
        <v>24</v>
      </c>
      <c r="G27" s="36"/>
      <c r="H27" s="36"/>
    </row>
    <row r="28" spans="1:12" ht="13.5" thickBot="1">
      <c r="A28" s="20">
        <v>2</v>
      </c>
      <c r="B28" s="728" t="s">
        <v>25</v>
      </c>
      <c r="C28" s="21" t="s">
        <v>9</v>
      </c>
      <c r="D28" s="367" t="s">
        <v>10</v>
      </c>
      <c r="E28" s="23" t="s">
        <v>11</v>
      </c>
      <c r="F28" s="23" t="s">
        <v>12</v>
      </c>
      <c r="G28" s="24" t="s">
        <v>13</v>
      </c>
      <c r="H28" s="25" t="s">
        <v>14</v>
      </c>
    </row>
    <row r="29" spans="1:12" ht="13.5" outlineLevel="1" thickTop="1">
      <c r="A29" s="422" t="s">
        <v>146</v>
      </c>
      <c r="B29" s="732" t="s">
        <v>151</v>
      </c>
      <c r="C29" s="423"/>
      <c r="D29" s="424"/>
      <c r="E29" s="425"/>
      <c r="F29" s="425">
        <f>SUM(F30:F33)</f>
        <v>131927606</v>
      </c>
      <c r="G29" s="425"/>
      <c r="H29" s="426"/>
    </row>
    <row r="30" spans="1:12" outlineLevel="2">
      <c r="A30" s="39" t="s">
        <v>149</v>
      </c>
      <c r="B30" s="733" t="s">
        <v>574</v>
      </c>
      <c r="C30" s="5" t="s">
        <v>28</v>
      </c>
      <c r="D30" s="337">
        <f>'MEMORIAS CANT'!B5*'MEMORIAS CANT'!E5</f>
        <v>224</v>
      </c>
      <c r="E30" s="670">
        <f>ROUND('2. APU EXCAVACIONES'!H39,0)</f>
        <v>43279</v>
      </c>
      <c r="F30" s="1155">
        <f t="shared" ref="F30" si="2">ROUND(+E30*D30,0)</f>
        <v>9694496</v>
      </c>
      <c r="G30" s="371">
        <f>+F30/$F$221</f>
        <v>1.5943465662128988E-3</v>
      </c>
      <c r="H30" s="40"/>
    </row>
    <row r="31" spans="1:12" outlineLevel="2">
      <c r="A31" s="39" t="s">
        <v>150</v>
      </c>
      <c r="B31" s="733" t="s">
        <v>575</v>
      </c>
      <c r="C31" s="5" t="s">
        <v>28</v>
      </c>
      <c r="D31" s="337">
        <f>88*2.2</f>
        <v>193.60000000000002</v>
      </c>
      <c r="E31" s="670">
        <f>ROUND('2. APU EXCAVACIONES'!H86,0)</f>
        <v>34824</v>
      </c>
      <c r="F31" s="1155">
        <f>ROUND(+E31*D31,0)</f>
        <v>6741926</v>
      </c>
      <c r="G31" s="371">
        <f>+F31/$F$221</f>
        <v>1.1087700245336594E-3</v>
      </c>
      <c r="H31" s="40"/>
    </row>
    <row r="32" spans="1:12" ht="51" outlineLevel="2">
      <c r="A32" s="39" t="s">
        <v>594</v>
      </c>
      <c r="B32" s="733" t="s">
        <v>774</v>
      </c>
      <c r="C32" s="5" t="s">
        <v>118</v>
      </c>
      <c r="D32" s="1088">
        <f>+D33*(0.15+0.11)+D51*0.25</f>
        <v>1277.425</v>
      </c>
      <c r="E32" s="670">
        <f>ROUND('2. APU EXCAVACIONES'!H135,0)</f>
        <v>77241</v>
      </c>
      <c r="F32" s="1155">
        <f t="shared" ref="F32:F33" si="3">ROUND(+E32*D32,0)</f>
        <v>98669584</v>
      </c>
      <c r="G32" s="371">
        <f>+F32/$F$221</f>
        <v>1.6227095502443365E-2</v>
      </c>
      <c r="H32" s="40"/>
    </row>
    <row r="33" spans="1:9" ht="24" customHeight="1" outlineLevel="2">
      <c r="A33" s="39" t="s">
        <v>596</v>
      </c>
      <c r="B33" s="733" t="s">
        <v>595</v>
      </c>
      <c r="C33" s="5" t="s">
        <v>19</v>
      </c>
      <c r="D33" s="388">
        <v>2400</v>
      </c>
      <c r="E33" s="670">
        <f>ROUND('2. APU EXCAVACIONES'!H184,0)</f>
        <v>7009</v>
      </c>
      <c r="F33" s="1155">
        <f t="shared" si="3"/>
        <v>16821600</v>
      </c>
      <c r="G33" s="371">
        <f>+F33/$F$221</f>
        <v>2.7664625575385144E-3</v>
      </c>
      <c r="H33" s="40"/>
    </row>
    <row r="34" spans="1:9" outlineLevel="1">
      <c r="A34" s="26" t="s">
        <v>152</v>
      </c>
      <c r="B34" s="729" t="s">
        <v>26</v>
      </c>
      <c r="C34" s="51"/>
      <c r="D34" s="340"/>
      <c r="E34" s="28"/>
      <c r="F34" s="28">
        <f>SUM(F35:F35)</f>
        <v>229054319</v>
      </c>
      <c r="G34" s="28"/>
      <c r="H34" s="47"/>
    </row>
    <row r="35" spans="1:9" ht="38.25" outlineLevel="2">
      <c r="A35" s="39" t="s">
        <v>153</v>
      </c>
      <c r="B35" s="733" t="s">
        <v>1270</v>
      </c>
      <c r="C35" s="5" t="s">
        <v>118</v>
      </c>
      <c r="D35" s="1088">
        <f>D50*0.15+D51*0.25</f>
        <v>1013.425</v>
      </c>
      <c r="E35" s="670">
        <f>ROUND('2. APU EXCAVACIONES'!H232,0)</f>
        <v>226020</v>
      </c>
      <c r="F35" s="1155">
        <f>ROUND(+E35*D35,0)</f>
        <v>229054319</v>
      </c>
      <c r="G35" s="371">
        <f>+F35/$F$221</f>
        <v>3.7670031219145785E-2</v>
      </c>
      <c r="H35" s="40"/>
      <c r="I35" s="648"/>
    </row>
    <row r="36" spans="1:9" outlineLevel="1" collapsed="1">
      <c r="A36" s="58" t="s">
        <v>161</v>
      </c>
      <c r="B36" s="730" t="s">
        <v>576</v>
      </c>
      <c r="C36" s="33"/>
      <c r="D36" s="336"/>
      <c r="E36" s="34"/>
      <c r="F36" s="34">
        <f>SUM(F37:F37)</f>
        <v>52471097</v>
      </c>
      <c r="G36" s="34"/>
      <c r="H36" s="35"/>
    </row>
    <row r="37" spans="1:9" ht="46.15" customHeight="1" outlineLevel="1" thickBot="1">
      <c r="A37" s="41" t="s">
        <v>27</v>
      </c>
      <c r="B37" s="734" t="s">
        <v>795</v>
      </c>
      <c r="C37" s="7" t="s">
        <v>28</v>
      </c>
      <c r="D37" s="338">
        <f>'MEMORIAS CANT'!C52</f>
        <v>670.6</v>
      </c>
      <c r="E37" s="670">
        <f>ROUND('2. APU EXCAVACIONES'!H279,0)</f>
        <v>78245</v>
      </c>
      <c r="F37" s="1156">
        <f>ROUND(+E37*D37,0)</f>
        <v>52471097</v>
      </c>
      <c r="G37" s="372">
        <f>+F37/$F$221</f>
        <v>8.629341156814541E-3</v>
      </c>
      <c r="H37" s="698"/>
    </row>
    <row r="38" spans="1:9" ht="13.5" collapsed="1" thickBot="1">
      <c r="A38" s="42" t="s">
        <v>23</v>
      </c>
      <c r="B38" s="731" t="s">
        <v>24</v>
      </c>
      <c r="C38" s="43"/>
      <c r="D38" s="339"/>
      <c r="E38" s="44"/>
      <c r="F38" s="1157">
        <f>F29+F34+F36</f>
        <v>413453022</v>
      </c>
      <c r="G38" s="45">
        <f>F38/$F$221</f>
        <v>6.7996047026688766E-2</v>
      </c>
      <c r="H38" s="46"/>
    </row>
    <row r="39" spans="1:9" ht="13.5" thickBot="1">
      <c r="E39" s="38"/>
      <c r="F39" s="36"/>
      <c r="G39" s="36"/>
      <c r="H39" s="36"/>
    </row>
    <row r="40" spans="1:9" ht="13.5" thickBot="1">
      <c r="A40" s="987">
        <v>3</v>
      </c>
      <c r="B40" s="1042" t="s">
        <v>154</v>
      </c>
      <c r="C40" s="988" t="s">
        <v>9</v>
      </c>
      <c r="D40" s="723" t="s">
        <v>10</v>
      </c>
      <c r="E40" s="989" t="s">
        <v>11</v>
      </c>
      <c r="F40" s="1158" t="s">
        <v>12</v>
      </c>
      <c r="G40" s="990" t="s">
        <v>13</v>
      </c>
      <c r="H40" s="991" t="s">
        <v>14</v>
      </c>
    </row>
    <row r="41" spans="1:9" outlineLevel="1">
      <c r="A41" s="1080" t="s">
        <v>1147</v>
      </c>
      <c r="B41" s="1043" t="s">
        <v>661</v>
      </c>
      <c r="C41" s="1044"/>
      <c r="D41" s="1045"/>
      <c r="E41" s="1046"/>
      <c r="F41" s="1046">
        <f>SUM(F43:F48)</f>
        <v>223073950</v>
      </c>
      <c r="G41" s="1047"/>
      <c r="H41" s="300"/>
    </row>
    <row r="42" spans="1:9" ht="23.25" customHeight="1" outlineLevel="2">
      <c r="A42" s="1039" t="s">
        <v>1148</v>
      </c>
      <c r="B42" s="1216" t="s">
        <v>704</v>
      </c>
      <c r="C42" s="1217"/>
      <c r="D42" s="1217"/>
      <c r="E42" s="1217"/>
      <c r="F42" s="1217"/>
      <c r="G42" s="1217"/>
      <c r="H42" s="1218"/>
    </row>
    <row r="43" spans="1:9" ht="13.5" outlineLevel="2">
      <c r="A43" s="1039" t="s">
        <v>1149</v>
      </c>
      <c r="B43" s="736" t="s">
        <v>498</v>
      </c>
      <c r="C43" s="53" t="s">
        <v>118</v>
      </c>
      <c r="D43" s="337">
        <f>'MEMORIAS CANT'!F5</f>
        <v>15.833626974092558</v>
      </c>
      <c r="E43" s="670">
        <f>ROUND('3. APU CONCRETOS'!H39,0)</f>
        <v>826547</v>
      </c>
      <c r="F43" s="1155">
        <f t="shared" ref="F43:F48" si="4">ROUND(+E43*D43,0)</f>
        <v>13087237</v>
      </c>
      <c r="G43" s="371">
        <f t="shared" ref="G43:G48" si="5">+F43/$F$221</f>
        <v>2.1523131653429328E-3</v>
      </c>
      <c r="H43" s="54"/>
    </row>
    <row r="44" spans="1:9" ht="13.5" outlineLevel="2">
      <c r="A44" s="1039" t="s">
        <v>1150</v>
      </c>
      <c r="B44" s="736" t="s">
        <v>499</v>
      </c>
      <c r="C44" s="53" t="s">
        <v>118</v>
      </c>
      <c r="D44" s="341">
        <f>'MEMORIAS CANT'!F13</f>
        <v>19.207999999999998</v>
      </c>
      <c r="E44" s="670">
        <f>ROUND('3. APU CONCRETOS'!H86,0)</f>
        <v>896796</v>
      </c>
      <c r="F44" s="1155">
        <f t="shared" si="4"/>
        <v>17225658</v>
      </c>
      <c r="G44" s="371">
        <f t="shared" si="5"/>
        <v>2.8329135091765215E-3</v>
      </c>
      <c r="H44" s="54"/>
    </row>
    <row r="45" spans="1:9" ht="13.5" outlineLevel="2">
      <c r="A45" s="1039" t="s">
        <v>1151</v>
      </c>
      <c r="B45" s="736" t="s">
        <v>528</v>
      </c>
      <c r="C45" s="53" t="s">
        <v>28</v>
      </c>
      <c r="D45" s="337">
        <f>'MEMORIAS CANT'!E15+'MEMORIAS CANT'!E16+'MEMORIAS CANT'!E17</f>
        <v>116.28</v>
      </c>
      <c r="E45" s="670">
        <f>ROUND('3. APU CONCRETOS'!H133,0)</f>
        <v>81715</v>
      </c>
      <c r="F45" s="1155">
        <f t="shared" si="4"/>
        <v>9501820</v>
      </c>
      <c r="G45" s="371">
        <f t="shared" si="5"/>
        <v>1.5626592748888696E-3</v>
      </c>
      <c r="H45" s="124"/>
    </row>
    <row r="46" spans="1:9" ht="25.5" outlineLevel="2">
      <c r="A46" s="1039" t="s">
        <v>1152</v>
      </c>
      <c r="B46" s="736" t="s">
        <v>583</v>
      </c>
      <c r="C46" s="53" t="s">
        <v>19</v>
      </c>
      <c r="D46" s="337">
        <f>'MEMORIAS CANT'!C25+'MEMORIAS CANT'!C25*0.328</f>
        <v>88.444799999999987</v>
      </c>
      <c r="E46" s="670">
        <f>ROUND('3. APU CONCRETOS'!H180,0)</f>
        <v>157976</v>
      </c>
      <c r="F46" s="1155">
        <f t="shared" si="4"/>
        <v>13972156</v>
      </c>
      <c r="G46" s="371">
        <f t="shared" si="5"/>
        <v>2.2978460088271687E-3</v>
      </c>
      <c r="H46" s="124"/>
    </row>
    <row r="47" spans="1:9" ht="13.5" outlineLevel="2">
      <c r="A47" s="1039" t="s">
        <v>1153</v>
      </c>
      <c r="B47" s="736" t="s">
        <v>175</v>
      </c>
      <c r="C47" s="53" t="s">
        <v>19</v>
      </c>
      <c r="D47" s="337">
        <f>'MEMORIAS CANT'!C26</f>
        <v>4.9139999999999997</v>
      </c>
      <c r="E47" s="670">
        <f>ROUND('3. APU CONCRETOS'!H227,0)</f>
        <v>184260</v>
      </c>
      <c r="F47" s="1155">
        <f t="shared" si="4"/>
        <v>905454</v>
      </c>
      <c r="G47" s="371">
        <f t="shared" si="5"/>
        <v>1.4891000788114556E-4</v>
      </c>
      <c r="H47" s="124"/>
    </row>
    <row r="48" spans="1:9" ht="13.5" outlineLevel="2">
      <c r="A48" s="1039" t="s">
        <v>1154</v>
      </c>
      <c r="B48" s="736" t="s">
        <v>160</v>
      </c>
      <c r="C48" s="53" t="s">
        <v>28</v>
      </c>
      <c r="D48" s="337">
        <f>'MEMORIAS CANT'!C52</f>
        <v>670.6</v>
      </c>
      <c r="E48" s="670">
        <f>ROUND('3. APU CONCRETOS'!H276,0)</f>
        <v>251091</v>
      </c>
      <c r="F48" s="1155">
        <f t="shared" si="4"/>
        <v>168381625</v>
      </c>
      <c r="G48" s="371">
        <f t="shared" si="5"/>
        <v>2.7691864087838913E-2</v>
      </c>
      <c r="H48" s="124"/>
      <c r="I48" s="648"/>
    </row>
    <row r="49" spans="1:9" outlineLevel="1" collapsed="1">
      <c r="A49" s="58" t="s">
        <v>1155</v>
      </c>
      <c r="B49" s="974" t="s">
        <v>1261</v>
      </c>
      <c r="C49" s="33"/>
      <c r="D49" s="1041"/>
      <c r="E49" s="34"/>
      <c r="F49" s="34">
        <f>SUM(F50:F53)</f>
        <v>928698377</v>
      </c>
      <c r="G49" s="33"/>
      <c r="H49" s="29"/>
    </row>
    <row r="50" spans="1:9" ht="51" outlineLevel="1">
      <c r="A50" s="1040" t="s">
        <v>1156</v>
      </c>
      <c r="B50" s="1079" t="s">
        <v>1264</v>
      </c>
      <c r="C50" s="53" t="s">
        <v>19</v>
      </c>
      <c r="D50" s="337">
        <v>2400</v>
      </c>
      <c r="E50" s="670">
        <f>ROUND('3. APU CONCRETOS'!H325,0)</f>
        <v>237133</v>
      </c>
      <c r="F50" s="1155">
        <f t="shared" ref="F50:F53" si="6">ROUND(+E50*D50,0)</f>
        <v>569119200</v>
      </c>
      <c r="G50" s="371">
        <f>+F50/$F$221</f>
        <v>9.359674213964625E-2</v>
      </c>
      <c r="H50" s="124"/>
      <c r="I50" s="648"/>
    </row>
    <row r="51" spans="1:9" ht="76.5" outlineLevel="1">
      <c r="A51" s="1040" t="s">
        <v>1157</v>
      </c>
      <c r="B51" s="1079" t="s">
        <v>1259</v>
      </c>
      <c r="C51" s="53" t="s">
        <v>19</v>
      </c>
      <c r="D51" s="337">
        <f>+SUM(D164:D165)</f>
        <v>2613.6999999999998</v>
      </c>
      <c r="E51" s="670">
        <f>+ROUND('3. APU CONCRETOS'!H372,0)</f>
        <v>114007</v>
      </c>
      <c r="F51" s="1155">
        <f t="shared" si="6"/>
        <v>297980096</v>
      </c>
      <c r="G51" s="371">
        <f>+F51/$F$221</f>
        <v>4.9005491658090317E-2</v>
      </c>
      <c r="H51" s="124"/>
      <c r="I51" s="1078"/>
    </row>
    <row r="52" spans="1:9" ht="24" customHeight="1" outlineLevel="1">
      <c r="A52" s="1040" t="s">
        <v>1158</v>
      </c>
      <c r="B52" s="975" t="s">
        <v>500</v>
      </c>
      <c r="C52" s="53" t="s">
        <v>28</v>
      </c>
      <c r="D52" s="337">
        <f>139*2.7</f>
        <v>375.3</v>
      </c>
      <c r="E52" s="670">
        <f>ROUND('3. APU CONCRETOS'!H417,0)</f>
        <v>12770</v>
      </c>
      <c r="F52" s="1155">
        <f t="shared" si="6"/>
        <v>4792581</v>
      </c>
      <c r="G52" s="371">
        <f>+F52/$F$221</f>
        <v>7.8818280606306722E-4</v>
      </c>
      <c r="H52" s="54"/>
    </row>
    <row r="53" spans="1:9" ht="34.9" customHeight="1" outlineLevel="1" thickBot="1">
      <c r="A53" s="1048" t="s">
        <v>1265</v>
      </c>
      <c r="B53" s="1079" t="s">
        <v>1271</v>
      </c>
      <c r="C53" s="399" t="s">
        <v>28</v>
      </c>
      <c r="D53" s="400">
        <v>500</v>
      </c>
      <c r="E53" s="670">
        <f>ROUND('3. APU CONCRETOS'!H465,0)</f>
        <v>113613</v>
      </c>
      <c r="F53" s="1156">
        <f t="shared" si="6"/>
        <v>56806500</v>
      </c>
      <c r="G53" s="372">
        <f>+F53/$F$221</f>
        <v>9.3423369521812207E-3</v>
      </c>
      <c r="H53" s="56"/>
    </row>
    <row r="54" spans="1:9" ht="13.5" thickBot="1">
      <c r="A54" s="42" t="s">
        <v>23</v>
      </c>
      <c r="B54" s="731"/>
      <c r="C54" s="43"/>
      <c r="E54" s="44"/>
      <c r="F54" s="1157">
        <f>+F41+F49</f>
        <v>1151772327</v>
      </c>
      <c r="G54" s="45">
        <f>F54/$F$221</f>
        <v>0.18941925960993641</v>
      </c>
      <c r="H54" s="46"/>
    </row>
    <row r="55" spans="1:9" ht="13.5" thickBot="1">
      <c r="A55" s="19"/>
      <c r="B55" s="731"/>
      <c r="C55" s="43"/>
      <c r="E55" s="44"/>
      <c r="F55" s="1159"/>
      <c r="G55" s="57"/>
      <c r="H55" s="46"/>
    </row>
    <row r="56" spans="1:9" ht="13.5" thickBot="1">
      <c r="A56" s="48">
        <v>4</v>
      </c>
      <c r="B56" s="739" t="s">
        <v>34</v>
      </c>
      <c r="C56" s="21" t="s">
        <v>9</v>
      </c>
      <c r="D56" s="367" t="s">
        <v>10</v>
      </c>
      <c r="E56" s="23" t="s">
        <v>11</v>
      </c>
      <c r="F56" s="1160" t="s">
        <v>12</v>
      </c>
      <c r="G56" s="24" t="s">
        <v>13</v>
      </c>
      <c r="H56" s="25" t="s">
        <v>14</v>
      </c>
    </row>
    <row r="57" spans="1:9" ht="13.5" outlineLevel="1" collapsed="1" thickTop="1">
      <c r="A57" s="58" t="s">
        <v>29</v>
      </c>
      <c r="B57" s="735" t="s">
        <v>35</v>
      </c>
      <c r="C57" s="50"/>
      <c r="D57" s="342"/>
      <c r="E57" s="52"/>
      <c r="F57" s="52">
        <f>SUM(F58:F61)</f>
        <v>162604945</v>
      </c>
      <c r="G57" s="51"/>
      <c r="H57" s="29"/>
    </row>
    <row r="58" spans="1:9" ht="78" customHeight="1" outlineLevel="1">
      <c r="A58" s="37" t="s">
        <v>31</v>
      </c>
      <c r="B58" s="740" t="s">
        <v>212</v>
      </c>
      <c r="C58" s="60" t="s">
        <v>37</v>
      </c>
      <c r="D58" s="343">
        <f>'MEMORIAS CANT'!N41+'MEMORIAS CANT'!N46+'MEMORIAS CANT'!N48</f>
        <v>6655.4368000000022</v>
      </c>
      <c r="E58" s="670">
        <f>ROUND('4. APU ACEROS'!H39,0)</f>
        <v>7805</v>
      </c>
      <c r="F58" s="1155">
        <f t="shared" ref="F58:F61" si="7">ROUND(+E58*D58,0)</f>
        <v>51945684</v>
      </c>
      <c r="G58" s="369">
        <f>+F58/$F$221</f>
        <v>8.5429322901345583E-3</v>
      </c>
      <c r="H58" s="54"/>
      <c r="I58" s="421"/>
    </row>
    <row r="59" spans="1:9" ht="34.15" customHeight="1" outlineLevel="1">
      <c r="A59" s="37" t="s">
        <v>32</v>
      </c>
      <c r="B59" s="741" t="s">
        <v>567</v>
      </c>
      <c r="C59" s="320" t="s">
        <v>47</v>
      </c>
      <c r="D59" s="344">
        <f>(832.4/0.3)+108*1.3+10-1000</f>
        <v>1925.0666666666666</v>
      </c>
      <c r="E59" s="722">
        <f>ROUND('4. APU ACEROS'!H86,0)</f>
        <v>31226</v>
      </c>
      <c r="F59" s="1155">
        <f t="shared" si="7"/>
        <v>60112132</v>
      </c>
      <c r="G59" s="373">
        <f>+F59/$F$221</f>
        <v>9.8859776972352684E-3</v>
      </c>
      <c r="H59" s="321"/>
      <c r="I59" s="421"/>
    </row>
    <row r="60" spans="1:9" ht="34.15" customHeight="1" outlineLevel="1">
      <c r="A60" s="37" t="s">
        <v>33</v>
      </c>
      <c r="B60" s="741" t="s">
        <v>568</v>
      </c>
      <c r="C60" s="320" t="s">
        <v>47</v>
      </c>
      <c r="D60" s="344">
        <v>401</v>
      </c>
      <c r="E60" s="722">
        <f>ROUND('4. APU ACEROS'!H133,0)</f>
        <v>23069</v>
      </c>
      <c r="F60" s="1155">
        <f t="shared" si="7"/>
        <v>9250669</v>
      </c>
      <c r="G60" s="373">
        <f>+F60/$F$221</f>
        <v>1.5213552468660682E-3</v>
      </c>
      <c r="H60" s="321"/>
      <c r="I60" s="421"/>
    </row>
    <row r="61" spans="1:9" ht="63.75" outlineLevel="1">
      <c r="A61" s="37" t="s">
        <v>155</v>
      </c>
      <c r="B61" s="1079" t="s">
        <v>1272</v>
      </c>
      <c r="C61" s="320" t="s">
        <v>19</v>
      </c>
      <c r="D61" s="344">
        <f>+$D$51</f>
        <v>2613.6999999999998</v>
      </c>
      <c r="E61" s="670">
        <f>+ROUND('4. APU ACEROS'!H178,0)</f>
        <v>15800</v>
      </c>
      <c r="F61" s="1155">
        <f t="shared" si="7"/>
        <v>41296460</v>
      </c>
      <c r="G61" s="373">
        <f>+F61/$F$221</f>
        <v>6.7915721660773629E-3</v>
      </c>
      <c r="H61" s="321"/>
      <c r="I61" s="421"/>
    </row>
    <row r="62" spans="1:9" ht="13.5" collapsed="1" thickBot="1">
      <c r="A62" s="42" t="s">
        <v>23</v>
      </c>
      <c r="B62" s="731"/>
      <c r="C62" s="43"/>
      <c r="D62" s="339"/>
      <c r="E62" s="44"/>
      <c r="F62" s="1157">
        <f>SUM(F58:F61)</f>
        <v>162604945</v>
      </c>
      <c r="G62" s="45">
        <f>F62/$F$221</f>
        <v>2.6741837400313256E-2</v>
      </c>
      <c r="H62" s="46"/>
    </row>
    <row r="63" spans="1:9" ht="13.5" thickBot="1">
      <c r="A63" s="19"/>
      <c r="B63" s="731"/>
      <c r="C63" s="43"/>
      <c r="D63" s="346"/>
      <c r="E63" s="61"/>
      <c r="F63" s="1159"/>
      <c r="G63" s="57"/>
      <c r="H63" s="46"/>
    </row>
    <row r="64" spans="1:9" ht="13.5" thickBot="1">
      <c r="A64" s="48">
        <v>5</v>
      </c>
      <c r="B64" s="739" t="s">
        <v>38</v>
      </c>
      <c r="C64" s="21" t="s">
        <v>9</v>
      </c>
      <c r="D64" s="367" t="s">
        <v>10</v>
      </c>
      <c r="E64" s="23" t="s">
        <v>11</v>
      </c>
      <c r="F64" s="1160" t="s">
        <v>12</v>
      </c>
      <c r="G64" s="24" t="s">
        <v>13</v>
      </c>
      <c r="H64" s="25" t="s">
        <v>14</v>
      </c>
    </row>
    <row r="65" spans="1:9" ht="13.5" outlineLevel="1" collapsed="1" thickTop="1">
      <c r="A65" s="58" t="s">
        <v>143</v>
      </c>
      <c r="B65" s="735" t="s">
        <v>38</v>
      </c>
      <c r="C65" s="50"/>
      <c r="D65" s="342"/>
      <c r="E65" s="52"/>
      <c r="F65" s="52">
        <f>SUM(F66:F67)</f>
        <v>44558032</v>
      </c>
      <c r="G65" s="51"/>
      <c r="H65" s="29"/>
    </row>
    <row r="66" spans="1:9" ht="63.75" outlineLevel="1">
      <c r="A66" s="37" t="s">
        <v>36</v>
      </c>
      <c r="B66" s="740" t="s">
        <v>385</v>
      </c>
      <c r="C66" s="60" t="s">
        <v>19</v>
      </c>
      <c r="D66" s="344">
        <f>'MEMORIAS CANT'!S4</f>
        <v>144.69549999999998</v>
      </c>
      <c r="E66" s="670">
        <f>ROUND('5. APU MAMPOSTERIA'!H39,0)</f>
        <v>263934</v>
      </c>
      <c r="F66" s="1155">
        <f t="shared" ref="F66:F67" si="8">ROUND(+E66*D66,0)</f>
        <v>38190062</v>
      </c>
      <c r="G66" s="369">
        <f>+F66/$F$221</f>
        <v>6.2806972340963066E-3</v>
      </c>
      <c r="H66" s="54"/>
    </row>
    <row r="67" spans="1:9" ht="51.75" outlineLevel="1" thickBot="1">
      <c r="A67" s="55" t="s">
        <v>538</v>
      </c>
      <c r="B67" s="742" t="s">
        <v>386</v>
      </c>
      <c r="C67" s="136" t="s">
        <v>19</v>
      </c>
      <c r="D67" s="345">
        <f>'MEMORIAS CANT'!S5</f>
        <v>74.400000000000006</v>
      </c>
      <c r="E67" s="680">
        <f>ROUND('5. APU MAMPOSTERIA'!H86,0)</f>
        <v>85591</v>
      </c>
      <c r="F67" s="1156">
        <f t="shared" si="8"/>
        <v>6367970</v>
      </c>
      <c r="G67" s="370">
        <f>+F67/$F$221</f>
        <v>1.0472696160013634E-3</v>
      </c>
      <c r="H67" s="56"/>
    </row>
    <row r="68" spans="1:9" ht="13.5" collapsed="1" thickBot="1">
      <c r="A68" s="42" t="s">
        <v>23</v>
      </c>
      <c r="B68" s="731" t="s">
        <v>24</v>
      </c>
      <c r="C68" s="43"/>
      <c r="D68" s="339"/>
      <c r="E68" s="44"/>
      <c r="F68" s="1157">
        <f>SUM(F66:F67)</f>
        <v>44558032</v>
      </c>
      <c r="G68" s="45">
        <f>F68/$F$221</f>
        <v>7.3279668500976702E-3</v>
      </c>
      <c r="H68" s="46"/>
    </row>
    <row r="69" spans="1:9" ht="13.5" thickBot="1">
      <c r="B69" s="731"/>
      <c r="C69" s="43"/>
      <c r="D69" s="339"/>
      <c r="E69" s="44"/>
      <c r="F69" s="1161"/>
      <c r="G69" s="46"/>
      <c r="H69" s="46"/>
    </row>
    <row r="70" spans="1:9" s="65" customFormat="1" ht="13.5" thickBot="1">
      <c r="A70" s="20">
        <v>6</v>
      </c>
      <c r="B70" s="728" t="s">
        <v>39</v>
      </c>
      <c r="C70" s="21" t="s">
        <v>40</v>
      </c>
      <c r="D70" s="367" t="s">
        <v>41</v>
      </c>
      <c r="E70" s="23" t="s">
        <v>42</v>
      </c>
      <c r="F70" s="1160" t="s">
        <v>43</v>
      </c>
      <c r="G70" s="22" t="s">
        <v>13</v>
      </c>
      <c r="H70" s="25" t="s">
        <v>14</v>
      </c>
      <c r="I70" s="4"/>
    </row>
    <row r="71" spans="1:9" s="65" customFormat="1" ht="13.5" outlineLevel="1" thickTop="1">
      <c r="A71" s="58" t="s">
        <v>144</v>
      </c>
      <c r="B71" s="743" t="s">
        <v>414</v>
      </c>
      <c r="C71" s="67"/>
      <c r="D71" s="347"/>
      <c r="E71" s="68"/>
      <c r="F71" s="68">
        <f>SUM(F72:F81)</f>
        <v>59707531</v>
      </c>
      <c r="G71" s="68"/>
      <c r="H71" s="69"/>
      <c r="I71" s="4"/>
    </row>
    <row r="72" spans="1:9" s="65" customFormat="1" ht="47.45" customHeight="1" outlineLevel="2">
      <c r="A72" s="39" t="s">
        <v>1164</v>
      </c>
      <c r="B72" s="744" t="s">
        <v>420</v>
      </c>
      <c r="C72" s="70" t="s">
        <v>28</v>
      </c>
      <c r="D72" s="341">
        <v>5</v>
      </c>
      <c r="E72" s="1016">
        <f>+ROUND('6. APU ELECTRICOS'!H39,0)</f>
        <v>55421</v>
      </c>
      <c r="F72" s="1155">
        <f t="shared" ref="F72:F81" si="9">ROUND(+E72*D72,0)</f>
        <v>277105</v>
      </c>
      <c r="G72" s="669">
        <f t="shared" ref="G72:G81" si="10">+F72/$F$221</f>
        <v>4.5572395432462433E-5</v>
      </c>
      <c r="H72" s="71"/>
      <c r="I72" s="996"/>
    </row>
    <row r="73" spans="1:9" s="65" customFormat="1" ht="25.5" outlineLevel="2">
      <c r="A73" s="39" t="s">
        <v>1165</v>
      </c>
      <c r="B73" s="744" t="s">
        <v>469</v>
      </c>
      <c r="C73" s="70" t="s">
        <v>28</v>
      </c>
      <c r="D73" s="341">
        <v>6</v>
      </c>
      <c r="E73" s="1016">
        <f>+ROUND('6. APU ELECTRICOS'!H87,0)</f>
        <v>80360</v>
      </c>
      <c r="F73" s="1155">
        <f t="shared" si="9"/>
        <v>482160</v>
      </c>
      <c r="G73" s="369">
        <f t="shared" si="10"/>
        <v>7.929552401333822E-5</v>
      </c>
      <c r="H73" s="999"/>
      <c r="I73" s="996"/>
    </row>
    <row r="74" spans="1:9" s="65" customFormat="1" ht="63.75" outlineLevel="2">
      <c r="A74" s="39" t="s">
        <v>1166</v>
      </c>
      <c r="B74" s="744" t="s">
        <v>425</v>
      </c>
      <c r="C74" s="70" t="s">
        <v>47</v>
      </c>
      <c r="D74" s="341">
        <v>1</v>
      </c>
      <c r="E74" s="1016">
        <f>+ROUND('6. APU ELECTRICOS'!H136,0)</f>
        <v>1181385</v>
      </c>
      <c r="F74" s="1155">
        <f t="shared" si="9"/>
        <v>1181385</v>
      </c>
      <c r="G74" s="369">
        <f t="shared" si="10"/>
        <v>1.9428932851438851E-4</v>
      </c>
      <c r="H74" s="673"/>
      <c r="I74" s="996"/>
    </row>
    <row r="75" spans="1:9" s="65" customFormat="1" ht="25.5" outlineLevel="2">
      <c r="A75" s="39" t="s">
        <v>1167</v>
      </c>
      <c r="B75" s="744" t="s">
        <v>428</v>
      </c>
      <c r="C75" s="70" t="s">
        <v>47</v>
      </c>
      <c r="D75" s="341">
        <v>1</v>
      </c>
      <c r="E75" s="1016">
        <f>+ROUND('6. APU ELECTRICOS'!H184,0)</f>
        <v>439841</v>
      </c>
      <c r="F75" s="1155">
        <f t="shared" si="9"/>
        <v>439841</v>
      </c>
      <c r="G75" s="369">
        <f t="shared" si="10"/>
        <v>7.2335785999565893E-5</v>
      </c>
      <c r="H75" s="673"/>
      <c r="I75" s="996"/>
    </row>
    <row r="76" spans="1:9" s="65" customFormat="1" ht="38.25" outlineLevel="2">
      <c r="A76" s="39" t="s">
        <v>1168</v>
      </c>
      <c r="B76" s="744" t="s">
        <v>432</v>
      </c>
      <c r="C76" s="70" t="s">
        <v>28</v>
      </c>
      <c r="D76" s="341">
        <v>40</v>
      </c>
      <c r="E76" s="1016">
        <f>ROUND(+'6. APU ELECTRICOS'!H232,0)</f>
        <v>40474</v>
      </c>
      <c r="F76" s="1155">
        <f t="shared" si="9"/>
        <v>1618960</v>
      </c>
      <c r="G76" s="369">
        <f t="shared" si="10"/>
        <v>2.6625245054885107E-4</v>
      </c>
      <c r="H76" s="71"/>
      <c r="I76" s="996"/>
    </row>
    <row r="77" spans="1:9" s="65" customFormat="1" ht="38.25" outlineLevel="2">
      <c r="A77" s="39" t="s">
        <v>1169</v>
      </c>
      <c r="B77" s="744" t="s">
        <v>400</v>
      </c>
      <c r="C77" s="70" t="s">
        <v>28</v>
      </c>
      <c r="D77" s="341">
        <v>30</v>
      </c>
      <c r="E77" s="670">
        <f>ROUND('6. APU ELECTRICOS'!H280,0)</f>
        <v>32032</v>
      </c>
      <c r="F77" s="1155">
        <f t="shared" si="9"/>
        <v>960960</v>
      </c>
      <c r="G77" s="369">
        <f t="shared" si="10"/>
        <v>1.58038465977803E-4</v>
      </c>
      <c r="H77" s="71"/>
      <c r="I77" s="4"/>
    </row>
    <row r="78" spans="1:9" s="65" customFormat="1" ht="25.5" outlineLevel="2">
      <c r="A78" s="39" t="s">
        <v>1170</v>
      </c>
      <c r="B78" s="744" t="s">
        <v>653</v>
      </c>
      <c r="C78" s="70" t="s">
        <v>47</v>
      </c>
      <c r="D78" s="341">
        <v>3</v>
      </c>
      <c r="E78" s="670">
        <f>ROUND('6. APU ELECTRICOS'!H328,0)</f>
        <v>964712</v>
      </c>
      <c r="F78" s="1155">
        <f t="shared" si="9"/>
        <v>2894136</v>
      </c>
      <c r="G78" s="369">
        <f t="shared" si="10"/>
        <v>4.7596654779713499E-4</v>
      </c>
      <c r="H78" s="71"/>
      <c r="I78" s="4"/>
    </row>
    <row r="79" spans="1:9" s="65" customFormat="1" ht="81.75" customHeight="1" outlineLevel="2">
      <c r="A79" s="39" t="s">
        <v>1171</v>
      </c>
      <c r="B79" s="744" t="s">
        <v>1104</v>
      </c>
      <c r="C79" s="70" t="s">
        <v>47</v>
      </c>
      <c r="D79" s="341">
        <v>1</v>
      </c>
      <c r="E79" s="1016">
        <f>+ROUND('6. APU ELECTRICOS'!H376,0)</f>
        <v>6294984</v>
      </c>
      <c r="F79" s="1155">
        <f t="shared" si="9"/>
        <v>6294984</v>
      </c>
      <c r="G79" s="369">
        <f t="shared" si="10"/>
        <v>1.0352664155790191E-3</v>
      </c>
      <c r="H79" s="673"/>
      <c r="I79" s="996"/>
    </row>
    <row r="80" spans="1:9" s="65" customFormat="1" ht="38.25" outlineLevel="2">
      <c r="A80" s="39" t="s">
        <v>1172</v>
      </c>
      <c r="B80" s="744" t="s">
        <v>470</v>
      </c>
      <c r="C80" s="70" t="s">
        <v>28</v>
      </c>
      <c r="D80" s="341">
        <v>1000</v>
      </c>
      <c r="E80" s="1016">
        <f>+ROUND('6. APU ELECTRICOS'!H424,0)</f>
        <v>30609</v>
      </c>
      <c r="F80" s="1155">
        <f t="shared" si="9"/>
        <v>30609000</v>
      </c>
      <c r="G80" s="369">
        <f t="shared" si="10"/>
        <v>5.0339237898711416E-3</v>
      </c>
      <c r="H80" s="71"/>
      <c r="I80" s="996"/>
    </row>
    <row r="81" spans="1:9" s="65" customFormat="1" ht="38.25" outlineLevel="2">
      <c r="A81" s="39" t="s">
        <v>1173</v>
      </c>
      <c r="B81" s="744" t="s">
        <v>439</v>
      </c>
      <c r="C81" s="70" t="s">
        <v>28</v>
      </c>
      <c r="D81" s="341">
        <v>1000</v>
      </c>
      <c r="E81" s="670">
        <f>ROUND('6. APU ELECTRICOS'!H472,0)</f>
        <v>14949</v>
      </c>
      <c r="F81" s="1155">
        <f t="shared" si="9"/>
        <v>14949000</v>
      </c>
      <c r="G81" s="369">
        <f t="shared" si="10"/>
        <v>2.4584967406574435E-3</v>
      </c>
      <c r="H81" s="71"/>
      <c r="I81" s="4"/>
    </row>
    <row r="82" spans="1:9" s="65" customFormat="1" outlineLevel="1">
      <c r="A82" s="58" t="s">
        <v>145</v>
      </c>
      <c r="B82" s="743" t="s">
        <v>415</v>
      </c>
      <c r="C82" s="67"/>
      <c r="D82" s="347"/>
      <c r="E82" s="68"/>
      <c r="F82" s="68">
        <f>SUM(F83:F92)</f>
        <v>90295261</v>
      </c>
      <c r="G82" s="68"/>
      <c r="H82" s="69"/>
      <c r="I82" s="4"/>
    </row>
    <row r="83" spans="1:9" s="65" customFormat="1" ht="25.5" outlineLevel="2">
      <c r="A83" s="39" t="s">
        <v>1174</v>
      </c>
      <c r="B83" s="744" t="s">
        <v>389</v>
      </c>
      <c r="C83" s="70" t="s">
        <v>47</v>
      </c>
      <c r="D83" s="337">
        <v>6</v>
      </c>
      <c r="E83" s="1016">
        <f>+ROUND('6. APU ELECTRICOS'!H523,0)</f>
        <v>1834140</v>
      </c>
      <c r="F83" s="1155">
        <f t="shared" ref="F83:F92" si="11">ROUND(+E83*D83,0)</f>
        <v>11004840</v>
      </c>
      <c r="G83" s="369">
        <f t="shared" ref="G83:G92" si="12">+F83/$F$221</f>
        <v>1.8098443555727246E-3</v>
      </c>
      <c r="H83" s="675"/>
      <c r="I83" s="4"/>
    </row>
    <row r="84" spans="1:9" s="65" customFormat="1" ht="25.5" outlineLevel="2">
      <c r="A84" s="39" t="s">
        <v>1175</v>
      </c>
      <c r="B84" s="744" t="s">
        <v>390</v>
      </c>
      <c r="C84" s="70" t="s">
        <v>47</v>
      </c>
      <c r="D84" s="341">
        <v>21</v>
      </c>
      <c r="E84" s="1016">
        <f>+ROUND('6. APU ELECTRICOS'!H574,0)</f>
        <v>1697290</v>
      </c>
      <c r="F84" s="1155">
        <f t="shared" si="11"/>
        <v>35643090</v>
      </c>
      <c r="G84" s="369">
        <f t="shared" si="12"/>
        <v>5.8618249108274749E-3</v>
      </c>
      <c r="H84" s="675"/>
      <c r="I84" s="4"/>
    </row>
    <row r="85" spans="1:9" s="65" customFormat="1" ht="25.5" outlineLevel="2">
      <c r="A85" s="39" t="s">
        <v>1176</v>
      </c>
      <c r="B85" s="744" t="s">
        <v>391</v>
      </c>
      <c r="C85" s="70" t="s">
        <v>47</v>
      </c>
      <c r="D85" s="341">
        <v>21</v>
      </c>
      <c r="E85" s="1016">
        <f>+ROUND('6. APU ELECTRICOS'!H624,0)</f>
        <v>1019633</v>
      </c>
      <c r="F85" s="1155">
        <f t="shared" si="11"/>
        <v>21412293</v>
      </c>
      <c r="G85" s="369">
        <f t="shared" si="12"/>
        <v>3.5214430764935576E-3</v>
      </c>
      <c r="H85" s="675"/>
      <c r="I85" s="4"/>
    </row>
    <row r="86" spans="1:9" s="65" customFormat="1" ht="25.5" outlineLevel="2">
      <c r="A86" s="39" t="s">
        <v>1177</v>
      </c>
      <c r="B86" s="744" t="s">
        <v>392</v>
      </c>
      <c r="C86" s="70" t="s">
        <v>47</v>
      </c>
      <c r="D86" s="341">
        <v>17</v>
      </c>
      <c r="E86" s="1016">
        <f>+ROUND('6. APU ELECTRICOS'!H672,0)</f>
        <v>655699</v>
      </c>
      <c r="F86" s="1155">
        <f t="shared" si="11"/>
        <v>11146883</v>
      </c>
      <c r="G86" s="369">
        <f t="shared" si="12"/>
        <v>1.8332045972299061E-3</v>
      </c>
      <c r="H86" s="675"/>
      <c r="I86" s="4"/>
    </row>
    <row r="87" spans="1:9" s="65" customFormat="1" ht="25.5" outlineLevel="2">
      <c r="A87" s="39" t="s">
        <v>1178</v>
      </c>
      <c r="B87" s="744" t="s">
        <v>393</v>
      </c>
      <c r="C87" s="70" t="s">
        <v>47</v>
      </c>
      <c r="D87" s="341">
        <v>8</v>
      </c>
      <c r="E87" s="1016">
        <f>+ROUND('6. APU ELECTRICOS'!H720,0)</f>
        <v>294281</v>
      </c>
      <c r="F87" s="1155">
        <f t="shared" si="11"/>
        <v>2354248</v>
      </c>
      <c r="G87" s="369">
        <f t="shared" si="12"/>
        <v>3.8717713791553316E-4</v>
      </c>
      <c r="H87" s="675"/>
      <c r="I87" s="4"/>
    </row>
    <row r="88" spans="1:9" s="65" customFormat="1" ht="66" customHeight="1" outlineLevel="2">
      <c r="A88" s="39" t="s">
        <v>1179</v>
      </c>
      <c r="B88" s="744" t="s">
        <v>484</v>
      </c>
      <c r="C88" s="70" t="s">
        <v>47</v>
      </c>
      <c r="D88" s="341">
        <v>6</v>
      </c>
      <c r="E88" s="1016">
        <f>+ROUND('6. APU ELECTRICOS'!H768,0)</f>
        <v>127157</v>
      </c>
      <c r="F88" s="1155">
        <f t="shared" si="11"/>
        <v>762942</v>
      </c>
      <c r="G88" s="369">
        <f t="shared" si="12"/>
        <v>1.254726349796422E-4</v>
      </c>
      <c r="H88" s="71"/>
      <c r="I88" s="4"/>
    </row>
    <row r="89" spans="1:9" s="65" customFormat="1" ht="63.75" outlineLevel="2">
      <c r="A89" s="39" t="s">
        <v>1180</v>
      </c>
      <c r="B89" s="744" t="s">
        <v>485</v>
      </c>
      <c r="C89" s="70" t="s">
        <v>47</v>
      </c>
      <c r="D89" s="341">
        <v>21</v>
      </c>
      <c r="E89" s="1016">
        <f>+ROUND('6. APU ELECTRICOS'!H816,0)</f>
        <v>118729</v>
      </c>
      <c r="F89" s="1155">
        <f t="shared" si="11"/>
        <v>2493309</v>
      </c>
      <c r="G89" s="369">
        <f t="shared" si="12"/>
        <v>4.1004696300433942E-4</v>
      </c>
      <c r="H89" s="71"/>
      <c r="I89" s="4"/>
    </row>
    <row r="90" spans="1:9" s="65" customFormat="1" ht="63.75" outlineLevel="2">
      <c r="A90" s="39" t="s">
        <v>1181</v>
      </c>
      <c r="B90" s="744" t="s">
        <v>486</v>
      </c>
      <c r="C90" s="70" t="s">
        <v>47</v>
      </c>
      <c r="D90" s="341">
        <v>21</v>
      </c>
      <c r="E90" s="1016">
        <f>+ROUND('6. APU ELECTRICOS'!H864,0)</f>
        <v>123829</v>
      </c>
      <c r="F90" s="1155">
        <f t="shared" si="11"/>
        <v>2600409</v>
      </c>
      <c r="G90" s="369">
        <f t="shared" si="12"/>
        <v>4.2766051581218025E-4</v>
      </c>
      <c r="H90" s="71"/>
      <c r="I90" s="4"/>
    </row>
    <row r="91" spans="1:9" s="65" customFormat="1" ht="63.75" outlineLevel="2">
      <c r="A91" s="39" t="s">
        <v>1182</v>
      </c>
      <c r="B91" s="744" t="s">
        <v>487</v>
      </c>
      <c r="C91" s="70" t="s">
        <v>47</v>
      </c>
      <c r="D91" s="341">
        <v>25</v>
      </c>
      <c r="E91" s="1016">
        <f>+ROUND('6. APU ELECTRICOS'!H912,0)</f>
        <v>104794</v>
      </c>
      <c r="F91" s="1155">
        <f t="shared" si="11"/>
        <v>2619850</v>
      </c>
      <c r="G91" s="369">
        <f t="shared" si="12"/>
        <v>4.3085776212531965E-4</v>
      </c>
      <c r="H91" s="71"/>
      <c r="I91" s="4"/>
    </row>
    <row r="92" spans="1:9" s="65" customFormat="1" ht="25.5" outlineLevel="2">
      <c r="A92" s="39" t="s">
        <v>1183</v>
      </c>
      <c r="B92" s="744" t="s">
        <v>394</v>
      </c>
      <c r="C92" s="70" t="s">
        <v>47</v>
      </c>
      <c r="D92" s="341">
        <v>1</v>
      </c>
      <c r="E92" s="670">
        <f>+ROUND('6. APU ELECTRICOS'!H960,0)</f>
        <v>257397</v>
      </c>
      <c r="F92" s="1155">
        <f t="shared" si="11"/>
        <v>257397</v>
      </c>
      <c r="G92" s="369">
        <f t="shared" si="12"/>
        <v>4.2331238581510734E-5</v>
      </c>
      <c r="H92" s="71"/>
      <c r="I92" s="4"/>
    </row>
    <row r="93" spans="1:9" s="65" customFormat="1" ht="25.5" outlineLevel="1">
      <c r="A93" s="58" t="s">
        <v>1162</v>
      </c>
      <c r="B93" s="745" t="s">
        <v>416</v>
      </c>
      <c r="C93" s="67"/>
      <c r="D93" s="347"/>
      <c r="E93" s="68"/>
      <c r="F93" s="68">
        <f>SUM(F94:F111)</f>
        <v>60630235</v>
      </c>
      <c r="G93" s="68"/>
      <c r="H93" s="69"/>
      <c r="I93" s="4"/>
    </row>
    <row r="94" spans="1:9" s="65" customFormat="1" ht="51" outlineLevel="2">
      <c r="A94" s="39" t="s">
        <v>1184</v>
      </c>
      <c r="B94" s="744" t="s">
        <v>398</v>
      </c>
      <c r="C94" s="70" t="s">
        <v>28</v>
      </c>
      <c r="D94" s="341">
        <v>50</v>
      </c>
      <c r="E94" s="1016">
        <f>+ROUND('6. APU ELECTRICOS'!H1008,0)</f>
        <v>108000</v>
      </c>
      <c r="F94" s="1155">
        <f t="shared" ref="F94:F115" si="13">ROUND(+E94*D94,0)</f>
        <v>5400000</v>
      </c>
      <c r="G94" s="369">
        <f t="shared" ref="G94:G111" si="14">+F94/$F$221</f>
        <v>8.8807829283230955E-4</v>
      </c>
      <c r="H94" s="71"/>
      <c r="I94" s="4"/>
    </row>
    <row r="95" spans="1:9" s="65" customFormat="1" ht="25.5" outlineLevel="2">
      <c r="A95" s="39" t="s">
        <v>1185</v>
      </c>
      <c r="B95" s="744" t="s">
        <v>399</v>
      </c>
      <c r="C95" s="70" t="s">
        <v>28</v>
      </c>
      <c r="D95" s="341">
        <v>6</v>
      </c>
      <c r="E95" s="1016">
        <f>+ROUND('6. APU ELECTRICOS'!H1056,0)</f>
        <v>120469</v>
      </c>
      <c r="F95" s="1155">
        <f t="shared" si="13"/>
        <v>722814</v>
      </c>
      <c r="G95" s="369">
        <f t="shared" si="14"/>
        <v>1.1887322651023944E-4</v>
      </c>
      <c r="H95" s="71"/>
      <c r="I95" s="4"/>
    </row>
    <row r="96" spans="1:9" s="65" customFormat="1" ht="38.25" outlineLevel="2">
      <c r="A96" s="39" t="s">
        <v>1186</v>
      </c>
      <c r="B96" s="744" t="s">
        <v>400</v>
      </c>
      <c r="C96" s="70" t="s">
        <v>28</v>
      </c>
      <c r="D96" s="341">
        <v>50</v>
      </c>
      <c r="E96" s="1016">
        <f>ROUND('6. APU ELECTRICOS'!H1104,0)</f>
        <v>33873</v>
      </c>
      <c r="F96" s="1155">
        <f t="shared" si="13"/>
        <v>1693650</v>
      </c>
      <c r="G96" s="369">
        <f t="shared" si="14"/>
        <v>2.7853588901026688E-4</v>
      </c>
      <c r="H96" s="71"/>
      <c r="I96" s="4"/>
    </row>
    <row r="97" spans="1:9" s="65" customFormat="1" ht="25.5" outlineLevel="2">
      <c r="A97" s="39" t="s">
        <v>1187</v>
      </c>
      <c r="B97" s="744" t="s">
        <v>401</v>
      </c>
      <c r="C97" s="70" t="s">
        <v>47</v>
      </c>
      <c r="D97" s="341">
        <v>4</v>
      </c>
      <c r="E97" s="670">
        <f>ROUND('6. APU ELECTRICOS'!H1152,0)</f>
        <v>1114162</v>
      </c>
      <c r="F97" s="1155">
        <f t="shared" si="13"/>
        <v>4456648</v>
      </c>
      <c r="G97" s="369">
        <f t="shared" si="14"/>
        <v>7.3293561992491239E-4</v>
      </c>
      <c r="H97" s="71"/>
      <c r="I97" s="4"/>
    </row>
    <row r="98" spans="1:9" s="65" customFormat="1" ht="76.5" outlineLevel="2">
      <c r="A98" s="39" t="s">
        <v>1188</v>
      </c>
      <c r="B98" s="744" t="s">
        <v>402</v>
      </c>
      <c r="C98" s="70" t="s">
        <v>47</v>
      </c>
      <c r="D98" s="341">
        <v>1</v>
      </c>
      <c r="E98" s="1016">
        <f>+ROUND('6. APU ELECTRICOS'!H1199,0)</f>
        <v>6085160</v>
      </c>
      <c r="F98" s="1155">
        <f t="shared" si="13"/>
        <v>6085160</v>
      </c>
      <c r="G98" s="369">
        <f t="shared" si="14"/>
        <v>1.000758982298418E-3</v>
      </c>
      <c r="H98" s="71"/>
      <c r="I98" s="4"/>
    </row>
    <row r="99" spans="1:9" s="65" customFormat="1" ht="76.5" outlineLevel="2">
      <c r="A99" s="39" t="s">
        <v>1189</v>
      </c>
      <c r="B99" s="744" t="s">
        <v>403</v>
      </c>
      <c r="C99" s="70" t="s">
        <v>47</v>
      </c>
      <c r="D99" s="341">
        <v>1</v>
      </c>
      <c r="E99" s="1016">
        <f>+ROUND('6. APU ELECTRICOS'!H1246,0)</f>
        <v>6854563</v>
      </c>
      <c r="F99" s="1155">
        <f t="shared" si="13"/>
        <v>6854563</v>
      </c>
      <c r="G99" s="369">
        <f t="shared" si="14"/>
        <v>1.1272941865095396E-3</v>
      </c>
      <c r="H99" s="71"/>
      <c r="I99" s="4"/>
    </row>
    <row r="100" spans="1:9" s="65" customFormat="1" ht="38.25" outlineLevel="2">
      <c r="A100" s="39" t="s">
        <v>1190</v>
      </c>
      <c r="B100" s="744" t="s">
        <v>404</v>
      </c>
      <c r="C100" s="70" t="s">
        <v>28</v>
      </c>
      <c r="D100" s="341">
        <v>100</v>
      </c>
      <c r="E100" s="1016">
        <f>+ROUND('6. APU ELECTRICOS'!H1295,0)</f>
        <v>49475</v>
      </c>
      <c r="F100" s="1155">
        <f t="shared" si="13"/>
        <v>4947500</v>
      </c>
      <c r="G100" s="369">
        <f t="shared" si="14"/>
        <v>8.136606210718243E-4</v>
      </c>
      <c r="H100" s="71"/>
      <c r="I100" s="4"/>
    </row>
    <row r="101" spans="1:9" s="65" customFormat="1" ht="38.25" outlineLevel="2">
      <c r="A101" s="39" t="s">
        <v>1191</v>
      </c>
      <c r="B101" s="744" t="s">
        <v>405</v>
      </c>
      <c r="C101" s="70" t="s">
        <v>28</v>
      </c>
      <c r="D101" s="341">
        <v>100</v>
      </c>
      <c r="E101" s="1016">
        <f>ROUND('6. APU ELECTRICOS'!H1343,0)</f>
        <v>13574</v>
      </c>
      <c r="F101" s="1155">
        <f t="shared" si="13"/>
        <v>1357400</v>
      </c>
      <c r="G101" s="369">
        <f t="shared" si="14"/>
        <v>2.2323656938714388E-4</v>
      </c>
      <c r="H101" s="71"/>
      <c r="I101" s="4"/>
    </row>
    <row r="102" spans="1:9" s="65" customFormat="1" ht="63.75" outlineLevel="2">
      <c r="A102" s="39" t="s">
        <v>1192</v>
      </c>
      <c r="B102" s="744" t="s">
        <v>655</v>
      </c>
      <c r="C102" s="70" t="s">
        <v>47</v>
      </c>
      <c r="D102" s="341">
        <v>18</v>
      </c>
      <c r="E102" s="1016">
        <f>+ROUND('6. APU ELECTRICOS'!H1391,0)</f>
        <v>207751</v>
      </c>
      <c r="F102" s="1155">
        <f t="shared" si="13"/>
        <v>3739518</v>
      </c>
      <c r="G102" s="369">
        <f t="shared" si="14"/>
        <v>6.1499717804735046E-4</v>
      </c>
      <c r="H102" s="71"/>
      <c r="I102" s="4"/>
    </row>
    <row r="103" spans="1:9" s="65" customFormat="1" ht="25.5" outlineLevel="2">
      <c r="A103" s="39" t="s">
        <v>1193</v>
      </c>
      <c r="B103" s="744" t="s">
        <v>406</v>
      </c>
      <c r="C103" s="70" t="s">
        <v>47</v>
      </c>
      <c r="D103" s="341">
        <v>18</v>
      </c>
      <c r="E103" s="670">
        <f>+ROUND('6. APU ELECTRICOS'!H1439,0)</f>
        <v>37723</v>
      </c>
      <c r="F103" s="1155">
        <f t="shared" si="13"/>
        <v>679014</v>
      </c>
      <c r="G103" s="369">
        <f t="shared" si="14"/>
        <v>1.1166992480171071E-4</v>
      </c>
      <c r="H103" s="71"/>
      <c r="I103" s="4"/>
    </row>
    <row r="104" spans="1:9" s="65" customFormat="1" ht="51" outlineLevel="2">
      <c r="A104" s="39" t="s">
        <v>1194</v>
      </c>
      <c r="B104" s="744" t="s">
        <v>407</v>
      </c>
      <c r="C104" s="70" t="s">
        <v>28</v>
      </c>
      <c r="D104" s="341">
        <v>100</v>
      </c>
      <c r="E104" s="1016">
        <f>+ROUND('6. APU ELECTRICOS'!H1484,0)</f>
        <v>20201</v>
      </c>
      <c r="F104" s="1155">
        <f t="shared" si="13"/>
        <v>2020100</v>
      </c>
      <c r="G104" s="369">
        <f t="shared" si="14"/>
        <v>3.3222351099084234E-4</v>
      </c>
      <c r="H104" s="71"/>
      <c r="I104" s="4"/>
    </row>
    <row r="105" spans="1:9" s="65" customFormat="1" ht="25.5" outlineLevel="2">
      <c r="A105" s="39" t="s">
        <v>1195</v>
      </c>
      <c r="B105" s="744" t="s">
        <v>654</v>
      </c>
      <c r="C105" s="70" t="s">
        <v>28</v>
      </c>
      <c r="D105" s="341">
        <v>50</v>
      </c>
      <c r="E105" s="670">
        <f>+ROUND('6. APU ELECTRICOS'!H1532,0)</f>
        <v>31083</v>
      </c>
      <c r="F105" s="1155">
        <f t="shared" si="13"/>
        <v>1554150</v>
      </c>
      <c r="G105" s="369">
        <f t="shared" si="14"/>
        <v>2.555938664454322E-4</v>
      </c>
      <c r="H105" s="71"/>
      <c r="I105" s="4"/>
    </row>
    <row r="106" spans="1:9" s="65" customFormat="1" ht="25.5" outlineLevel="2">
      <c r="A106" s="39" t="s">
        <v>1196</v>
      </c>
      <c r="B106" s="744" t="s">
        <v>408</v>
      </c>
      <c r="C106" s="70" t="s">
        <v>47</v>
      </c>
      <c r="D106" s="341">
        <v>18</v>
      </c>
      <c r="E106" s="670">
        <f>+ROUND('6. APU ELECTRICOS'!H1579,0)</f>
        <v>22998</v>
      </c>
      <c r="F106" s="1155">
        <f t="shared" si="13"/>
        <v>413964</v>
      </c>
      <c r="G106" s="369">
        <f t="shared" si="14"/>
        <v>6.8080081928524849E-5</v>
      </c>
      <c r="H106" s="71"/>
      <c r="I106" s="4"/>
    </row>
    <row r="107" spans="1:9" s="65" customFormat="1" ht="89.25" outlineLevel="2">
      <c r="A107" s="39" t="s">
        <v>1197</v>
      </c>
      <c r="B107" s="744" t="s">
        <v>409</v>
      </c>
      <c r="C107" s="70" t="s">
        <v>47</v>
      </c>
      <c r="D107" s="341">
        <v>30</v>
      </c>
      <c r="E107" s="1016">
        <f>+ROUND('6. APU ELECTRICOS'!H1633,0)</f>
        <v>177652</v>
      </c>
      <c r="F107" s="1155">
        <f t="shared" si="13"/>
        <v>5329560</v>
      </c>
      <c r="G107" s="369">
        <f t="shared" si="14"/>
        <v>8.7649380487914142E-4</v>
      </c>
      <c r="H107" s="71"/>
      <c r="I107" s="4"/>
    </row>
    <row r="108" spans="1:9" s="65" customFormat="1" ht="76.5" outlineLevel="2">
      <c r="A108" s="39" t="s">
        <v>1198</v>
      </c>
      <c r="B108" s="744" t="s">
        <v>410</v>
      </c>
      <c r="C108" s="70" t="s">
        <v>47</v>
      </c>
      <c r="D108" s="341">
        <v>18</v>
      </c>
      <c r="E108" s="1016">
        <f>+ROUND('6. APU ELECTRICOS'!H1687,0)</f>
        <v>272944</v>
      </c>
      <c r="F108" s="1155">
        <f t="shared" si="13"/>
        <v>4912992</v>
      </c>
      <c r="G108" s="369">
        <f t="shared" si="14"/>
        <v>8.0798547186273963E-4</v>
      </c>
      <c r="H108" s="71"/>
      <c r="I108" s="4"/>
    </row>
    <row r="109" spans="1:9" s="65" customFormat="1" ht="76.5" outlineLevel="2">
      <c r="A109" s="39" t="s">
        <v>1199</v>
      </c>
      <c r="B109" s="744" t="s">
        <v>411</v>
      </c>
      <c r="C109" s="70" t="s">
        <v>47</v>
      </c>
      <c r="D109" s="341">
        <v>18</v>
      </c>
      <c r="E109" s="1016">
        <f>+ROUND('6. APU ELECTRICOS'!H1741,0)</f>
        <v>178874</v>
      </c>
      <c r="F109" s="1155">
        <f t="shared" si="13"/>
        <v>3219732</v>
      </c>
      <c r="G109" s="369">
        <f t="shared" si="14"/>
        <v>5.2951372184028851E-4</v>
      </c>
      <c r="H109" s="71"/>
      <c r="I109" s="4"/>
    </row>
    <row r="110" spans="1:9" s="65" customFormat="1" ht="63.75" outlineLevel="2">
      <c r="A110" s="39" t="s">
        <v>1200</v>
      </c>
      <c r="B110" s="744" t="s">
        <v>412</v>
      </c>
      <c r="C110" s="70" t="s">
        <v>47</v>
      </c>
      <c r="D110" s="341">
        <v>18</v>
      </c>
      <c r="E110" s="1016">
        <f>+ROUND('6. APU ELECTRICOS'!H1795,0)</f>
        <v>176682</v>
      </c>
      <c r="F110" s="1155">
        <f t="shared" si="13"/>
        <v>3180276</v>
      </c>
      <c r="G110" s="369">
        <f t="shared" si="14"/>
        <v>5.2302482978066039E-4</v>
      </c>
      <c r="H110" s="71"/>
      <c r="I110" s="4"/>
    </row>
    <row r="111" spans="1:9" s="65" customFormat="1" ht="38.25" outlineLevel="2">
      <c r="A111" s="39" t="s">
        <v>1201</v>
      </c>
      <c r="B111" s="744" t="s">
        <v>413</v>
      </c>
      <c r="C111" s="70" t="s">
        <v>47</v>
      </c>
      <c r="D111" s="341">
        <v>18</v>
      </c>
      <c r="E111" s="1016">
        <f>+ROUND('6. APU ELECTRICOS'!H1842,0)</f>
        <v>225733</v>
      </c>
      <c r="F111" s="1155">
        <f t="shared" si="13"/>
        <v>4063194</v>
      </c>
      <c r="G111" s="369">
        <f t="shared" si="14"/>
        <v>6.6822859091971907E-4</v>
      </c>
      <c r="H111" s="71"/>
      <c r="I111" s="4"/>
    </row>
    <row r="112" spans="1:9" s="65" customFormat="1" outlineLevel="1" collapsed="1">
      <c r="A112" s="391" t="s">
        <v>1163</v>
      </c>
      <c r="B112" s="746" t="s">
        <v>417</v>
      </c>
      <c r="C112" s="392"/>
      <c r="D112" s="393"/>
      <c r="E112" s="394"/>
      <c r="F112" s="394">
        <f>SUM(F113:F115)</f>
        <v>16005664</v>
      </c>
      <c r="G112" s="394"/>
      <c r="H112" s="329"/>
      <c r="I112" s="4"/>
    </row>
    <row r="113" spans="1:9" s="65" customFormat="1" outlineLevel="1">
      <c r="A113" s="37" t="s">
        <v>1202</v>
      </c>
      <c r="B113" s="744" t="s">
        <v>418</v>
      </c>
      <c r="C113" s="70" t="s">
        <v>344</v>
      </c>
      <c r="D113" s="341">
        <v>1</v>
      </c>
      <c r="E113" s="670">
        <f>+ROUND('6. APU ELECTRICOS'!H1890,0)</f>
        <v>6501888</v>
      </c>
      <c r="F113" s="1155">
        <f t="shared" si="13"/>
        <v>6501888</v>
      </c>
      <c r="G113" s="395">
        <f>+F113/$F$221</f>
        <v>1.0692936287457185E-3</v>
      </c>
      <c r="H113" s="330"/>
      <c r="I113" s="4"/>
    </row>
    <row r="114" spans="1:9" s="65" customFormat="1" outlineLevel="1">
      <c r="A114" s="37" t="s">
        <v>1203</v>
      </c>
      <c r="B114" s="744" t="s">
        <v>419</v>
      </c>
      <c r="C114" s="70" t="s">
        <v>344</v>
      </c>
      <c r="D114" s="341">
        <v>1</v>
      </c>
      <c r="E114" s="670">
        <f>+ROUND('6. APU ELECTRICOS'!H1938,0)</f>
        <v>6501888</v>
      </c>
      <c r="F114" s="1155">
        <f t="shared" si="13"/>
        <v>6501888</v>
      </c>
      <c r="G114" s="395">
        <f>+F114/$F$221</f>
        <v>1.0692936287457185E-3</v>
      </c>
      <c r="H114" s="330"/>
      <c r="I114" s="4"/>
    </row>
    <row r="115" spans="1:9" s="65" customFormat="1" ht="13.5" outlineLevel="1" thickBot="1">
      <c r="A115" s="37" t="s">
        <v>1204</v>
      </c>
      <c r="B115" s="747" t="s">
        <v>1279</v>
      </c>
      <c r="C115" s="396" t="s">
        <v>344</v>
      </c>
      <c r="D115" s="397">
        <v>1</v>
      </c>
      <c r="E115" s="680">
        <f>+ROUND('6. APU ELECTRICOS'!H1986,0)</f>
        <v>3001888</v>
      </c>
      <c r="F115" s="1156">
        <f t="shared" si="13"/>
        <v>3001888</v>
      </c>
      <c r="G115" s="383">
        <f>+F115/$F$221</f>
        <v>4.9368732783588813E-4</v>
      </c>
      <c r="H115" s="331"/>
      <c r="I115" s="4"/>
    </row>
    <row r="116" spans="1:9" s="65" customFormat="1" ht="13.5" collapsed="1" thickBot="1">
      <c r="A116" s="42" t="s">
        <v>23</v>
      </c>
      <c r="B116" s="748"/>
      <c r="C116" s="72"/>
      <c r="D116" s="348"/>
      <c r="E116" s="73"/>
      <c r="F116" s="1157">
        <f>F71+F82+F93+F112</f>
        <v>226638691</v>
      </c>
      <c r="G116" s="45">
        <f>F116/$F$221</f>
        <v>3.7272759591301725E-2</v>
      </c>
      <c r="H116" s="74"/>
      <c r="I116" s="657"/>
    </row>
    <row r="117" spans="1:9" s="65" customFormat="1" ht="13.5" thickBot="1">
      <c r="A117" s="19"/>
      <c r="B117" s="748"/>
      <c r="C117" s="72"/>
      <c r="D117" s="348"/>
      <c r="E117" s="73"/>
      <c r="F117" s="46"/>
      <c r="G117" s="46"/>
      <c r="H117" s="74"/>
      <c r="I117" s="4"/>
    </row>
    <row r="118" spans="1:9" s="65" customFormat="1" ht="13.5" thickBot="1">
      <c r="A118" s="48">
        <v>7</v>
      </c>
      <c r="B118" s="728" t="s">
        <v>48</v>
      </c>
      <c r="C118" s="21" t="s">
        <v>40</v>
      </c>
      <c r="D118" s="367" t="s">
        <v>41</v>
      </c>
      <c r="E118" s="23" t="s">
        <v>42</v>
      </c>
      <c r="F118" s="1160" t="s">
        <v>43</v>
      </c>
      <c r="G118" s="22" t="s">
        <v>13</v>
      </c>
      <c r="H118" s="25" t="s">
        <v>14</v>
      </c>
      <c r="I118" s="4"/>
    </row>
    <row r="119" spans="1:9" s="65" customFormat="1" ht="13.5" outlineLevel="1" thickTop="1">
      <c r="A119" s="58" t="s">
        <v>1205</v>
      </c>
      <c r="B119" s="745" t="s">
        <v>1159</v>
      </c>
      <c r="C119" s="67"/>
      <c r="D119" s="347"/>
      <c r="E119" s="68"/>
      <c r="F119" s="68">
        <f>SUM(F120:F122)</f>
        <v>22560525</v>
      </c>
      <c r="G119" s="68"/>
      <c r="H119" s="69"/>
      <c r="I119" s="4"/>
    </row>
    <row r="120" spans="1:9" s="65" customFormat="1" ht="76.5" outlineLevel="2">
      <c r="A120" s="939" t="s">
        <v>1206</v>
      </c>
      <c r="B120" s="967" t="s">
        <v>1129</v>
      </c>
      <c r="C120" s="60" t="s">
        <v>118</v>
      </c>
      <c r="D120" s="1027">
        <f>ROUND(SUM($D$128:$D$132)*0.6*1,0)</f>
        <v>217</v>
      </c>
      <c r="E120" s="1016">
        <f>+ROUND('7. APU HIDROSANITARIO'!H38,0)</f>
        <v>47874</v>
      </c>
      <c r="F120" s="1155">
        <f t="shared" ref="F120:F142" si="15">ROUND(+E120*D120,0)</f>
        <v>10388658</v>
      </c>
      <c r="G120" s="369">
        <f>+F120/$F$221</f>
        <v>1.7085077150849472E-3</v>
      </c>
      <c r="H120" s="76"/>
      <c r="I120" s="4"/>
    </row>
    <row r="121" spans="1:9" s="65" customFormat="1" ht="76.5" outlineLevel="2">
      <c r="A121" s="939" t="s">
        <v>1207</v>
      </c>
      <c r="B121" s="967" t="s">
        <v>1257</v>
      </c>
      <c r="C121" s="60" t="s">
        <v>118</v>
      </c>
      <c r="D121" s="1027">
        <f>ROUND(SUM($D$129:$D$130)*0.6*1,0)</f>
        <v>40</v>
      </c>
      <c r="E121" s="1016">
        <f>+ROUND('7. APU HIDROSANITARIO'!H76,0)</f>
        <v>57951</v>
      </c>
      <c r="F121" s="1155">
        <f t="shared" si="15"/>
        <v>2318040</v>
      </c>
      <c r="G121" s="369">
        <f>+F121/$F$221</f>
        <v>3.812224085031494E-4</v>
      </c>
      <c r="H121" s="76"/>
      <c r="I121" s="4"/>
    </row>
    <row r="122" spans="1:9" s="65" customFormat="1" ht="63.75" outlineLevel="2">
      <c r="A122" s="939" t="s">
        <v>1256</v>
      </c>
      <c r="B122" s="967" t="s">
        <v>1137</v>
      </c>
      <c r="C122" s="60" t="s">
        <v>118</v>
      </c>
      <c r="D122" s="1027">
        <f>+D120+D121-D126</f>
        <v>181.05</v>
      </c>
      <c r="E122" s="1016">
        <f>+ROUND('7. APU HIDROSANITARIO'!H115,0)</f>
        <v>54426</v>
      </c>
      <c r="F122" s="1155">
        <f t="shared" si="15"/>
        <v>9853827</v>
      </c>
      <c r="G122" s="369">
        <f>+F122/$F$221</f>
        <v>1.6205499740786886E-3</v>
      </c>
      <c r="H122" s="76"/>
      <c r="I122" s="4"/>
    </row>
    <row r="123" spans="1:9" s="65" customFormat="1" outlineLevel="1">
      <c r="A123" s="58" t="s">
        <v>1208</v>
      </c>
      <c r="B123" s="745" t="s">
        <v>1160</v>
      </c>
      <c r="C123" s="67"/>
      <c r="D123" s="347"/>
      <c r="E123" s="68"/>
      <c r="F123" s="68">
        <f>SUM(F124:F127)</f>
        <v>37634112</v>
      </c>
      <c r="G123" s="68"/>
      <c r="H123" s="69"/>
      <c r="I123" s="4"/>
    </row>
    <row r="124" spans="1:9" s="65" customFormat="1" ht="44.45" customHeight="1" outlineLevel="2">
      <c r="A124" s="939" t="s">
        <v>1209</v>
      </c>
      <c r="B124" s="967" t="s">
        <v>1130</v>
      </c>
      <c r="C124" s="60" t="s">
        <v>118</v>
      </c>
      <c r="D124" s="1027">
        <f>ROUND((SUM(D129:D133)*0.6*0.15+(0.1*SUM(D129:D133)*0.6)),0)</f>
        <v>56</v>
      </c>
      <c r="E124" s="1016">
        <f>+ROUND('7. APU HIDROSANITARIO'!H154,0)</f>
        <v>213960</v>
      </c>
      <c r="F124" s="1155">
        <f t="shared" si="15"/>
        <v>11981760</v>
      </c>
      <c r="G124" s="369">
        <f>+F124/$F$221</f>
        <v>1.9705075862826763E-3</v>
      </c>
      <c r="H124" s="76" t="s">
        <v>1269</v>
      </c>
      <c r="I124" s="4"/>
    </row>
    <row r="125" spans="1:9" s="65" customFormat="1" ht="72" customHeight="1" outlineLevel="2">
      <c r="A125" s="939" t="s">
        <v>1210</v>
      </c>
      <c r="B125" s="967" t="s">
        <v>1131</v>
      </c>
      <c r="C125" s="60" t="s">
        <v>118</v>
      </c>
      <c r="D125" s="1027">
        <f>ROUND(1*0.6*SUM($D$129:$D$133),0)-D124-D126</f>
        <v>91.050000000000011</v>
      </c>
      <c r="E125" s="1016">
        <f>+ROUND('7. APU HIDROSANITARIO'!H193,0)</f>
        <v>134503</v>
      </c>
      <c r="F125" s="1155">
        <f t="shared" si="15"/>
        <v>12246498</v>
      </c>
      <c r="G125" s="369">
        <f>+F125/$F$221</f>
        <v>2.0140461179656097E-3</v>
      </c>
      <c r="H125" s="76"/>
      <c r="I125" s="4"/>
    </row>
    <row r="126" spans="1:9" s="65" customFormat="1" ht="57.6" customHeight="1" outlineLevel="2">
      <c r="A126" s="939" t="s">
        <v>1211</v>
      </c>
      <c r="B126" s="967" t="s">
        <v>1132</v>
      </c>
      <c r="C126" s="60" t="s">
        <v>118</v>
      </c>
      <c r="D126" s="1027">
        <f>D120*0.35</f>
        <v>75.949999999999989</v>
      </c>
      <c r="E126" s="1016">
        <f>+ROUND('7. APU HIDROSANITARIO'!H232,0)</f>
        <v>65195</v>
      </c>
      <c r="F126" s="1155">
        <f t="shared" si="15"/>
        <v>4951560</v>
      </c>
      <c r="G126" s="369">
        <f>+F126/$F$221</f>
        <v>8.143283243808797E-4</v>
      </c>
      <c r="H126" s="76"/>
      <c r="I126" s="4"/>
    </row>
    <row r="127" spans="1:9" s="65" customFormat="1" ht="102" outlineLevel="2">
      <c r="A127" s="939" t="s">
        <v>1212</v>
      </c>
      <c r="B127" s="967" t="s">
        <v>1144</v>
      </c>
      <c r="C127" s="60" t="s">
        <v>19</v>
      </c>
      <c r="D127" s="1027">
        <f>ROUND(SUM(D129:D131)*2*0.5,0)</f>
        <v>162</v>
      </c>
      <c r="E127" s="1016">
        <f>+ROUND('7. APU HIDROSANITARIO'!H271,0)</f>
        <v>52187</v>
      </c>
      <c r="F127" s="1155">
        <f t="shared" si="15"/>
        <v>8454294</v>
      </c>
      <c r="G127" s="369">
        <f>+F127/$F$221</f>
        <v>1.3903842560411921E-3</v>
      </c>
      <c r="H127" s="76"/>
      <c r="I127" s="4"/>
    </row>
    <row r="128" spans="1:9" s="65" customFormat="1" outlineLevel="1" collapsed="1">
      <c r="A128" s="104" t="s">
        <v>1213</v>
      </c>
      <c r="B128" s="1028" t="s">
        <v>543</v>
      </c>
      <c r="C128" s="1029"/>
      <c r="D128" s="1030"/>
      <c r="E128" s="1031"/>
      <c r="F128" s="1031">
        <f>SUM(F129:F142)</f>
        <v>81340496</v>
      </c>
      <c r="G128" s="1031"/>
      <c r="H128" s="1032"/>
      <c r="I128" s="4"/>
    </row>
    <row r="129" spans="1:9" s="65" customFormat="1" ht="42" customHeight="1" outlineLevel="1">
      <c r="A129" s="939" t="s">
        <v>1214</v>
      </c>
      <c r="B129" s="967" t="s">
        <v>1267</v>
      </c>
      <c r="C129" s="60" t="s">
        <v>28</v>
      </c>
      <c r="D129" s="349">
        <v>9</v>
      </c>
      <c r="E129" s="670">
        <f>ROUND('7. APU HIDROSANITARIO'!H323,0)</f>
        <v>140974</v>
      </c>
      <c r="F129" s="1155">
        <f t="shared" si="15"/>
        <v>1268766</v>
      </c>
      <c r="G129" s="369">
        <f t="shared" ref="G129:G142" si="16">+F129/$F$221</f>
        <v>2.0865991542290334E-4</v>
      </c>
      <c r="H129" s="1021"/>
      <c r="I129" s="4">
        <f>10*0.025+0.4</f>
        <v>0.65</v>
      </c>
    </row>
    <row r="130" spans="1:9" s="65" customFormat="1" ht="42" customHeight="1" outlineLevel="1">
      <c r="A130" s="939" t="s">
        <v>1215</v>
      </c>
      <c r="B130" s="967" t="s">
        <v>1266</v>
      </c>
      <c r="C130" s="60" t="s">
        <v>28</v>
      </c>
      <c r="D130" s="349">
        <v>57</v>
      </c>
      <c r="E130" s="670">
        <f>ROUND('7. APU HIDROSANITARIO'!H371,0)</f>
        <v>100657</v>
      </c>
      <c r="F130" s="1155">
        <f t="shared" si="15"/>
        <v>5737449</v>
      </c>
      <c r="G130" s="369">
        <f t="shared" si="16"/>
        <v>9.4357479872822991E-4</v>
      </c>
      <c r="H130" s="76"/>
      <c r="I130" s="4">
        <f>8*0.025+0.4</f>
        <v>0.60000000000000009</v>
      </c>
    </row>
    <row r="131" spans="1:9" s="65" customFormat="1" ht="42" customHeight="1" outlineLevel="1">
      <c r="A131" s="939" t="s">
        <v>1216</v>
      </c>
      <c r="B131" s="967" t="s">
        <v>1268</v>
      </c>
      <c r="C131" s="60" t="s">
        <v>28</v>
      </c>
      <c r="D131" s="349">
        <v>96</v>
      </c>
      <c r="E131" s="670">
        <f>ROUND('7. APU HIDROSANITARIO'!H419,0)</f>
        <v>72802</v>
      </c>
      <c r="F131" s="1155">
        <f t="shared" si="15"/>
        <v>6988992</v>
      </c>
      <c r="G131" s="368">
        <f t="shared" si="16"/>
        <v>1.1494022377738276E-3</v>
      </c>
      <c r="H131" s="76"/>
      <c r="I131" s="4">
        <f>6*0.025+0.4</f>
        <v>0.55000000000000004</v>
      </c>
    </row>
    <row r="132" spans="1:9" s="65" customFormat="1" ht="42" customHeight="1" outlineLevel="1">
      <c r="A132" s="939" t="s">
        <v>1217</v>
      </c>
      <c r="B132" s="967" t="s">
        <v>683</v>
      </c>
      <c r="C132" s="60" t="s">
        <v>28</v>
      </c>
      <c r="D132" s="349">
        <v>199</v>
      </c>
      <c r="E132" s="670">
        <f>ROUND('7. APU HIDROSANITARIO'!H471,0)</f>
        <v>63481</v>
      </c>
      <c r="F132" s="1155">
        <f t="shared" si="15"/>
        <v>12632719</v>
      </c>
      <c r="G132" s="368">
        <f t="shared" si="16"/>
        <v>2.0775636154352372E-3</v>
      </c>
      <c r="H132" s="76"/>
      <c r="I132" s="4">
        <f>4*0.025+0.4</f>
        <v>0.5</v>
      </c>
    </row>
    <row r="133" spans="1:9" s="65" customFormat="1" ht="42" customHeight="1" outlineLevel="1">
      <c r="A133" s="939" t="s">
        <v>1218</v>
      </c>
      <c r="B133" s="1081" t="s">
        <v>1124</v>
      </c>
      <c r="C133" s="60" t="s">
        <v>28</v>
      </c>
      <c r="D133" s="349">
        <v>10</v>
      </c>
      <c r="E133" s="670">
        <f>+ROUND('7. APU HIDROSANITARIO'!H521,0)</f>
        <v>156311</v>
      </c>
      <c r="F133" s="1155">
        <f t="shared" si="15"/>
        <v>1563110</v>
      </c>
      <c r="G133" s="368">
        <f t="shared" si="16"/>
        <v>2.5706741857576138E-4</v>
      </c>
      <c r="H133" s="76"/>
      <c r="I133" s="658"/>
    </row>
    <row r="134" spans="1:9" s="65" customFormat="1" ht="102" outlineLevel="1">
      <c r="A134" s="939" t="s">
        <v>1219</v>
      </c>
      <c r="B134" s="1049" t="s">
        <v>820</v>
      </c>
      <c r="C134" s="60" t="s">
        <v>47</v>
      </c>
      <c r="D134" s="349">
        <v>29</v>
      </c>
      <c r="E134" s="670">
        <f>+ROUND('7. APU HIDROSANITARIO'!H569,0)</f>
        <v>1010960</v>
      </c>
      <c r="F134" s="1155">
        <f t="shared" si="15"/>
        <v>29317840</v>
      </c>
      <c r="G134" s="368">
        <f t="shared" si="16"/>
        <v>4.8215809808760737E-3</v>
      </c>
      <c r="H134" s="76"/>
      <c r="I134" s="649"/>
    </row>
    <row r="135" spans="1:9" s="65" customFormat="1" ht="76.5" outlineLevel="1">
      <c r="A135" s="939" t="s">
        <v>1220</v>
      </c>
      <c r="B135" s="1049" t="s">
        <v>809</v>
      </c>
      <c r="C135" s="60" t="s">
        <v>47</v>
      </c>
      <c r="D135" s="349">
        <v>2</v>
      </c>
      <c r="E135" s="670">
        <f>+ROUND('7. APU HIDROSANITARIO'!H615,0)</f>
        <v>576726</v>
      </c>
      <c r="F135" s="1155">
        <f t="shared" si="15"/>
        <v>1153452</v>
      </c>
      <c r="G135" s="368">
        <f t="shared" si="16"/>
        <v>1.8969549685629873E-4</v>
      </c>
      <c r="H135" s="1022"/>
      <c r="I135" s="649"/>
    </row>
    <row r="136" spans="1:9" s="65" customFormat="1" ht="76.5" outlineLevel="1">
      <c r="A136" s="939" t="s">
        <v>1221</v>
      </c>
      <c r="B136" s="1049" t="s">
        <v>810</v>
      </c>
      <c r="C136" s="60" t="s">
        <v>47</v>
      </c>
      <c r="D136" s="349">
        <v>2</v>
      </c>
      <c r="E136" s="670">
        <f>+ROUND('7. APU HIDROSANITARIO'!H653,0)</f>
        <v>812863</v>
      </c>
      <c r="F136" s="1155">
        <f t="shared" si="15"/>
        <v>1625726</v>
      </c>
      <c r="G136" s="368">
        <f t="shared" si="16"/>
        <v>2.6736517975798133E-4</v>
      </c>
      <c r="H136" s="817"/>
      <c r="I136" s="4"/>
    </row>
    <row r="137" spans="1:9" s="65" customFormat="1" ht="76.5" outlineLevel="1">
      <c r="A137" s="939" t="s">
        <v>1222</v>
      </c>
      <c r="B137" s="1049" t="s">
        <v>811</v>
      </c>
      <c r="C137" s="60" t="s">
        <v>47</v>
      </c>
      <c r="D137" s="349">
        <v>2</v>
      </c>
      <c r="E137" s="670">
        <f>+ROUND('7. APU HIDROSANITARIO'!H690,0)</f>
        <v>1400254</v>
      </c>
      <c r="F137" s="1155">
        <f t="shared" si="15"/>
        <v>2800508</v>
      </c>
      <c r="G137" s="368">
        <f t="shared" si="16"/>
        <v>4.6056858587096769E-4</v>
      </c>
      <c r="H137" s="817"/>
      <c r="I137" s="4"/>
    </row>
    <row r="138" spans="1:9" s="65" customFormat="1" ht="114.75" outlineLevel="1">
      <c r="A138" s="939" t="s">
        <v>1223</v>
      </c>
      <c r="B138" s="1049" t="s">
        <v>812</v>
      </c>
      <c r="C138" s="60" t="s">
        <v>28</v>
      </c>
      <c r="D138" s="349">
        <v>2</v>
      </c>
      <c r="E138" s="670">
        <f>+ROUND('7. APU HIDROSANITARIO'!H728,0)</f>
        <v>1584900</v>
      </c>
      <c r="F138" s="1155">
        <f t="shared" si="15"/>
        <v>3169800</v>
      </c>
      <c r="G138" s="368">
        <f t="shared" si="16"/>
        <v>5.2130195789256567E-4</v>
      </c>
      <c r="H138" s="817"/>
      <c r="I138" s="4"/>
    </row>
    <row r="139" spans="1:9" s="65" customFormat="1" ht="102" outlineLevel="1">
      <c r="A139" s="939" t="s">
        <v>1224</v>
      </c>
      <c r="B139" s="1049" t="s">
        <v>813</v>
      </c>
      <c r="C139" s="60" t="s">
        <v>47</v>
      </c>
      <c r="D139" s="349">
        <v>2</v>
      </c>
      <c r="E139" s="670">
        <f>+ROUND('7. APU HIDROSANITARIO'!H766,0)</f>
        <v>666545</v>
      </c>
      <c r="F139" s="1155">
        <f t="shared" si="15"/>
        <v>1333090</v>
      </c>
      <c r="G139" s="368">
        <f t="shared" si="16"/>
        <v>2.1923857247996731E-4</v>
      </c>
      <c r="H139" s="817"/>
      <c r="I139" s="4"/>
    </row>
    <row r="140" spans="1:9" s="65" customFormat="1" ht="51" outlineLevel="1">
      <c r="A140" s="939" t="s">
        <v>1225</v>
      </c>
      <c r="B140" s="1049" t="s">
        <v>814</v>
      </c>
      <c r="C140" s="60" t="s">
        <v>47</v>
      </c>
      <c r="D140" s="349">
        <v>2</v>
      </c>
      <c r="E140" s="670">
        <f>+ROUND('7. APU HIDROSANITARIO'!H805,0)</f>
        <v>415064</v>
      </c>
      <c r="F140" s="1155">
        <f t="shared" si="15"/>
        <v>830128</v>
      </c>
      <c r="G140" s="368">
        <f t="shared" si="16"/>
        <v>1.3652197353190731E-4</v>
      </c>
      <c r="H140" s="817"/>
      <c r="I140" s="4"/>
    </row>
    <row r="141" spans="1:9" s="65" customFormat="1" ht="51" outlineLevel="1">
      <c r="A141" s="939" t="s">
        <v>1226</v>
      </c>
      <c r="B141" s="1049" t="s">
        <v>815</v>
      </c>
      <c r="C141" s="60" t="s">
        <v>47</v>
      </c>
      <c r="D141" s="349">
        <f>4*2</f>
        <v>8</v>
      </c>
      <c r="E141" s="670">
        <f>+ROUND('7. APU HIDROSANITARIO'!H844,0)</f>
        <v>85882</v>
      </c>
      <c r="F141" s="1155">
        <f t="shared" si="15"/>
        <v>687056</v>
      </c>
      <c r="G141" s="368">
        <f t="shared" si="16"/>
        <v>1.1299250362225838E-4</v>
      </c>
      <c r="H141" s="817"/>
      <c r="I141" s="4"/>
    </row>
    <row r="142" spans="1:9" s="65" customFormat="1" ht="39" outlineLevel="1" thickBot="1">
      <c r="A142" s="1083" t="s">
        <v>1227</v>
      </c>
      <c r="B142" s="1084" t="s">
        <v>819</v>
      </c>
      <c r="C142" s="136" t="s">
        <v>47</v>
      </c>
      <c r="D142" s="1085">
        <v>23</v>
      </c>
      <c r="E142" s="680">
        <f>+ROUND('7. APU HIDROSANITARIO'!H889,0)</f>
        <v>531820</v>
      </c>
      <c r="F142" s="1156">
        <f t="shared" si="15"/>
        <v>12231860</v>
      </c>
      <c r="G142" s="370">
        <f t="shared" si="16"/>
        <v>2.011638767956262E-3</v>
      </c>
      <c r="H142" s="1086"/>
      <c r="I142" s="4"/>
    </row>
    <row r="143" spans="1:9" s="65" customFormat="1" ht="13.5" thickBot="1">
      <c r="A143" s="42" t="s">
        <v>23</v>
      </c>
      <c r="B143" s="748"/>
      <c r="C143" s="72"/>
      <c r="D143" s="348"/>
      <c r="E143" s="73"/>
      <c r="F143" s="1157">
        <f>+F119+F123+F128</f>
        <v>141535133</v>
      </c>
      <c r="G143" s="45">
        <f>F143/$F$221</f>
        <v>2.3276718387117385E-2</v>
      </c>
      <c r="H143" s="74"/>
      <c r="I143" s="1082">
        <f>+F143/F221</f>
        <v>2.3276718387117385E-2</v>
      </c>
    </row>
    <row r="144" spans="1:9" s="65" customFormat="1" ht="13.5" thickBot="1">
      <c r="A144" s="77"/>
      <c r="B144" s="750"/>
      <c r="D144" s="350"/>
      <c r="E144" s="78"/>
      <c r="F144" s="78"/>
      <c r="G144" s="74"/>
      <c r="H144" s="74"/>
      <c r="I144" s="4"/>
    </row>
    <row r="145" spans="1:10" ht="13.5" thickBot="1">
      <c r="A145" s="48">
        <v>8</v>
      </c>
      <c r="B145" s="739" t="s">
        <v>53</v>
      </c>
      <c r="C145" s="21" t="s">
        <v>9</v>
      </c>
      <c r="D145" s="367" t="s">
        <v>10</v>
      </c>
      <c r="E145" s="23" t="s">
        <v>11</v>
      </c>
      <c r="F145" s="1160" t="s">
        <v>12</v>
      </c>
      <c r="G145" s="24" t="s">
        <v>13</v>
      </c>
      <c r="H145" s="25" t="s">
        <v>14</v>
      </c>
    </row>
    <row r="146" spans="1:10" ht="13.5" outlineLevel="1" thickTop="1">
      <c r="A146" s="79" t="s">
        <v>44</v>
      </c>
      <c r="B146" s="751" t="s">
        <v>54</v>
      </c>
      <c r="C146" s="83"/>
      <c r="D146" s="351"/>
      <c r="E146" s="84"/>
      <c r="F146" s="84">
        <f>SUM(F147:F151)</f>
        <v>443921312</v>
      </c>
      <c r="G146" s="83"/>
      <c r="H146" s="85"/>
    </row>
    <row r="147" spans="1:10" ht="114.75" outlineLevel="2">
      <c r="A147" s="75" t="s">
        <v>45</v>
      </c>
      <c r="B147" s="744" t="s">
        <v>316</v>
      </c>
      <c r="C147" s="53" t="s">
        <v>37</v>
      </c>
      <c r="D147" s="349">
        <f>'MEMORIAS CANT'!S10</f>
        <v>4800.6287999999995</v>
      </c>
      <c r="E147" s="670">
        <f>ROUND('8. APU CUBIERTAS'!H39,0)</f>
        <v>19925</v>
      </c>
      <c r="F147" s="1155">
        <f t="shared" ref="F147:F151" si="17">ROUND(+E147*D147,0)</f>
        <v>95652529</v>
      </c>
      <c r="G147" s="368">
        <f>+F147/$F$221</f>
        <v>1.5730913825817219E-2</v>
      </c>
      <c r="H147" s="76"/>
      <c r="I147" s="650"/>
    </row>
    <row r="148" spans="1:10" ht="114.75" outlineLevel="2">
      <c r="A148" s="75" t="s">
        <v>46</v>
      </c>
      <c r="B148" s="744" t="s">
        <v>317</v>
      </c>
      <c r="C148" s="53" t="s">
        <v>37</v>
      </c>
      <c r="D148" s="349">
        <f>'MEMORIAS CANT'!S11</f>
        <v>2159.844949342983</v>
      </c>
      <c r="E148" s="670">
        <f>ROUND('8. APU CUBIERTAS'!H87,0)</f>
        <v>19925</v>
      </c>
      <c r="F148" s="1155">
        <f t="shared" si="17"/>
        <v>43034911</v>
      </c>
      <c r="G148" s="368">
        <f>+F148/$F$221</f>
        <v>7.0774759801982183E-3</v>
      </c>
      <c r="H148" s="76"/>
    </row>
    <row r="149" spans="1:10" ht="36" customHeight="1" outlineLevel="2">
      <c r="A149" s="75" t="s">
        <v>395</v>
      </c>
      <c r="B149" s="744" t="s">
        <v>656</v>
      </c>
      <c r="C149" s="53" t="s">
        <v>19</v>
      </c>
      <c r="D149" s="349">
        <f>'MEMORIAS CANT'!S15</f>
        <v>218.21039999999999</v>
      </c>
      <c r="E149" s="670">
        <f>ROUND('8. APU CUBIERTAS'!H135,0)</f>
        <v>837540</v>
      </c>
      <c r="F149" s="1155">
        <f t="shared" si="17"/>
        <v>182759938</v>
      </c>
      <c r="G149" s="368">
        <f>+F149/$F$221</f>
        <v>3.0056506247625691E-2</v>
      </c>
      <c r="H149" s="427"/>
      <c r="I149" s="3"/>
      <c r="J149" s="650"/>
    </row>
    <row r="150" spans="1:10" ht="36" customHeight="1" outlineLevel="2">
      <c r="A150" s="75" t="s">
        <v>396</v>
      </c>
      <c r="B150" s="744" t="s">
        <v>657</v>
      </c>
      <c r="C150" s="53" t="s">
        <v>19</v>
      </c>
      <c r="D150" s="349">
        <f>'MEMORIAS CANT'!S16</f>
        <v>98.174770424681043</v>
      </c>
      <c r="E150" s="670">
        <f>ROUND('8. APU CUBIERTAS'!H183,0)</f>
        <v>920904</v>
      </c>
      <c r="F150" s="1155">
        <f t="shared" si="17"/>
        <v>90409539</v>
      </c>
      <c r="G150" s="368">
        <f>+F150/$F$221</f>
        <v>1.4868657231643724E-2</v>
      </c>
      <c r="H150" s="427"/>
      <c r="I150" s="3"/>
    </row>
    <row r="151" spans="1:10" ht="25.5" outlineLevel="2">
      <c r="A151" s="75" t="s">
        <v>397</v>
      </c>
      <c r="B151" s="749" t="s">
        <v>117</v>
      </c>
      <c r="C151" s="60" t="s">
        <v>19</v>
      </c>
      <c r="D151" s="349">
        <f>'MEMORIAS CANT'!S17</f>
        <v>120.99999999999997</v>
      </c>
      <c r="E151" s="670">
        <f>ROUND('8. APU CUBIERTAS'!H231,0)</f>
        <v>264995</v>
      </c>
      <c r="F151" s="1155">
        <f t="shared" si="17"/>
        <v>32064395</v>
      </c>
      <c r="G151" s="368">
        <f>+F151/$F$221</f>
        <v>5.2732765133890452E-3</v>
      </c>
      <c r="H151" s="128"/>
      <c r="I151" s="651"/>
    </row>
    <row r="152" spans="1:10" ht="15" outlineLevel="1" collapsed="1">
      <c r="A152" s="79" t="s">
        <v>141</v>
      </c>
      <c r="B152" s="751" t="s">
        <v>119</v>
      </c>
      <c r="C152" s="83"/>
      <c r="D152" s="351"/>
      <c r="E152" s="84"/>
      <c r="F152" s="84">
        <f>SUM(F153)</f>
        <v>18346762</v>
      </c>
      <c r="G152" s="83"/>
      <c r="H152" s="89"/>
      <c r="I152" s="651"/>
    </row>
    <row r="153" spans="1:10" ht="39" outlineLevel="1" thickBot="1">
      <c r="A153" s="55" t="s">
        <v>142</v>
      </c>
      <c r="B153" s="752" t="s">
        <v>258</v>
      </c>
      <c r="C153" s="90" t="s">
        <v>19</v>
      </c>
      <c r="D153" s="352">
        <f>'MEMORIAS CANT'!S19</f>
        <v>79.324999999999989</v>
      </c>
      <c r="E153" s="680">
        <f>ROUND('8. APU CUBIERTAS'!H280,0)</f>
        <v>231286</v>
      </c>
      <c r="F153" s="1156">
        <f t="shared" ref="F153" si="18">ROUND(+E153*D153,0)</f>
        <v>18346762</v>
      </c>
      <c r="G153" s="370">
        <f>+F153/$F$221</f>
        <v>3.0172890881408686E-3</v>
      </c>
      <c r="H153" s="130"/>
      <c r="I153" s="651"/>
    </row>
    <row r="154" spans="1:10" ht="16.5" customHeight="1" collapsed="1" thickBot="1">
      <c r="A154" s="86" t="s">
        <v>23</v>
      </c>
      <c r="B154" s="731"/>
      <c r="C154" s="43"/>
      <c r="D154" s="339"/>
      <c r="E154" s="44"/>
      <c r="F154" s="1157">
        <f>F146+F152</f>
        <v>462268074</v>
      </c>
      <c r="G154" s="45">
        <f>F154/$F$221</f>
        <v>7.6024118886814762E-2</v>
      </c>
      <c r="H154" s="46"/>
    </row>
    <row r="155" spans="1:10" ht="13.5" thickBot="1">
      <c r="B155" s="731"/>
      <c r="C155" s="43"/>
      <c r="D155" s="339"/>
      <c r="E155" s="44"/>
      <c r="F155" s="1161"/>
      <c r="G155" s="46"/>
      <c r="H155" s="46"/>
    </row>
    <row r="156" spans="1:10" ht="13.5" thickBot="1">
      <c r="A156" s="20">
        <v>9</v>
      </c>
      <c r="B156" s="728" t="s">
        <v>55</v>
      </c>
      <c r="C156" s="21" t="s">
        <v>9</v>
      </c>
      <c r="D156" s="367" t="s">
        <v>10</v>
      </c>
      <c r="E156" s="23" t="s">
        <v>11</v>
      </c>
      <c r="F156" s="1160" t="s">
        <v>12</v>
      </c>
      <c r="G156" s="24" t="s">
        <v>13</v>
      </c>
      <c r="H156" s="25" t="s">
        <v>14</v>
      </c>
    </row>
    <row r="157" spans="1:10" ht="13.5" outlineLevel="1" thickTop="1">
      <c r="A157" s="81" t="s">
        <v>1125</v>
      </c>
      <c r="B157" s="753" t="s">
        <v>57</v>
      </c>
      <c r="C157" s="67"/>
      <c r="D157" s="347"/>
      <c r="E157" s="68"/>
      <c r="F157" s="68">
        <f>SUM(F158:F161)</f>
        <v>191837281</v>
      </c>
      <c r="G157" s="67"/>
      <c r="H157" s="87"/>
    </row>
    <row r="158" spans="1:10" ht="68.45" customHeight="1" outlineLevel="2">
      <c r="A158" s="37" t="s">
        <v>1126</v>
      </c>
      <c r="B158" s="736" t="s">
        <v>1273</v>
      </c>
      <c r="C158" s="88" t="s">
        <v>19</v>
      </c>
      <c r="D158" s="353">
        <f>'MEMORIAS CANT'!X5</f>
        <v>268.24</v>
      </c>
      <c r="E158" s="670">
        <f>ROUND('9. APU PISOS'!H39,0)</f>
        <v>285381</v>
      </c>
      <c r="F158" s="1155">
        <f t="shared" ref="F158:F161" si="19">ROUND(+E158*D158,0)</f>
        <v>76550599</v>
      </c>
      <c r="G158" s="368">
        <f>+F158/$F$221</f>
        <v>1.2589430606520501E-2</v>
      </c>
      <c r="H158" s="710"/>
    </row>
    <row r="159" spans="1:10" ht="68.45" customHeight="1" outlineLevel="2">
      <c r="A159" s="37" t="s">
        <v>1127</v>
      </c>
      <c r="B159" s="736" t="s">
        <v>1274</v>
      </c>
      <c r="C159" s="88" t="s">
        <v>19</v>
      </c>
      <c r="D159" s="353">
        <f>'MEMORIAS CANT'!X6</f>
        <v>348.71200000000005</v>
      </c>
      <c r="E159" s="670">
        <f>ROUND('9. APU PISOS'!H87,0)</f>
        <v>285381</v>
      </c>
      <c r="F159" s="1155">
        <f t="shared" si="19"/>
        <v>99515779</v>
      </c>
      <c r="G159" s="368">
        <f>+F159/$F$221</f>
        <v>1.6366259837814333E-2</v>
      </c>
      <c r="H159" s="710"/>
      <c r="I159" s="3"/>
    </row>
    <row r="160" spans="1:10" ht="63.75" outlineLevel="2">
      <c r="A160" s="37" t="s">
        <v>1128</v>
      </c>
      <c r="B160" s="1077" t="s">
        <v>1262</v>
      </c>
      <c r="C160" s="88" t="s">
        <v>19</v>
      </c>
      <c r="D160" s="353">
        <f>'MEMORIAS CANT'!X15</f>
        <v>28.9</v>
      </c>
      <c r="E160" s="670">
        <f>ROUND('9. APU PISOS'!H135,0)</f>
        <v>505335</v>
      </c>
      <c r="F160" s="1155">
        <f t="shared" si="19"/>
        <v>14604182</v>
      </c>
      <c r="G160" s="368">
        <f>+F160/$F$221</f>
        <v>2.4017883368096932E-3</v>
      </c>
      <c r="H160" s="710"/>
      <c r="I160" s="3"/>
    </row>
    <row r="161" spans="1:8" ht="51" outlineLevel="2">
      <c r="A161" s="37" t="s">
        <v>1229</v>
      </c>
      <c r="B161" s="736" t="s">
        <v>113</v>
      </c>
      <c r="C161" s="88" t="s">
        <v>19</v>
      </c>
      <c r="D161" s="353">
        <f>'MEMORIAS CANT'!X16</f>
        <v>4.9139999999999997</v>
      </c>
      <c r="E161" s="670">
        <f>ROUND('9. APU PISOS'!H183,0)</f>
        <v>237428</v>
      </c>
      <c r="F161" s="1155">
        <f t="shared" si="19"/>
        <v>1166721</v>
      </c>
      <c r="G161" s="368">
        <f>+F161/$F$221</f>
        <v>1.9187770257251944E-4</v>
      </c>
      <c r="H161" s="63"/>
    </row>
    <row r="162" spans="1:8" outlineLevel="1" collapsed="1">
      <c r="A162" s="79" t="s">
        <v>49</v>
      </c>
      <c r="B162" s="754" t="s">
        <v>116</v>
      </c>
      <c r="C162" s="83"/>
      <c r="D162" s="351"/>
      <c r="E162" s="84"/>
      <c r="F162" s="84">
        <f>SUM(F163:F170)</f>
        <v>2538335899</v>
      </c>
      <c r="G162" s="83"/>
      <c r="H162" s="89"/>
    </row>
    <row r="163" spans="1:8" ht="25.5" outlineLevel="1">
      <c r="A163" s="37" t="s">
        <v>50</v>
      </c>
      <c r="B163" s="975" t="s">
        <v>158</v>
      </c>
      <c r="C163" s="88" t="s">
        <v>19</v>
      </c>
      <c r="D163" s="332">
        <f>'MEMORIAS CANT'!X18</f>
        <v>79.324999999999989</v>
      </c>
      <c r="E163" s="670">
        <f>ROUND('9. APU PISOS'!H231,0)</f>
        <v>39709</v>
      </c>
      <c r="F163" s="1155">
        <f t="shared" ref="F163:F170" si="20">ROUND(+E163*D163,0)</f>
        <v>3149916</v>
      </c>
      <c r="G163" s="369">
        <f t="shared" ref="G163:G170" si="21">+F163/$F$221</f>
        <v>5.1803185626762545E-4</v>
      </c>
      <c r="H163" s="82"/>
    </row>
    <row r="164" spans="1:8" ht="63.75" outlineLevel="1">
      <c r="A164" s="37" t="s">
        <v>51</v>
      </c>
      <c r="B164" s="1077" t="s">
        <v>1275</v>
      </c>
      <c r="C164" s="88" t="s">
        <v>19</v>
      </c>
      <c r="D164" s="353">
        <f>'MEMORIAS CANT'!X19</f>
        <v>1203.7</v>
      </c>
      <c r="E164" s="670">
        <f>ROUND('9. APU PISOS'!H279,0)</f>
        <v>779018</v>
      </c>
      <c r="F164" s="1155">
        <f t="shared" si="20"/>
        <v>937703967</v>
      </c>
      <c r="G164" s="369">
        <f t="shared" si="21"/>
        <v>0.15421380336952673</v>
      </c>
      <c r="H164" s="710"/>
    </row>
    <row r="165" spans="1:8" ht="63.75" outlineLevel="1">
      <c r="A165" s="37" t="s">
        <v>52</v>
      </c>
      <c r="B165" s="1077" t="s">
        <v>1276</v>
      </c>
      <c r="C165" s="62" t="s">
        <v>19</v>
      </c>
      <c r="D165" s="353">
        <f>'MEMORIAS CANT'!X20</f>
        <v>1410</v>
      </c>
      <c r="E165" s="670">
        <f>ROUND('9. APU PISOS'!H327,0)</f>
        <v>930558</v>
      </c>
      <c r="F165" s="1155">
        <f t="shared" si="20"/>
        <v>1312086780</v>
      </c>
      <c r="G165" s="374">
        <f t="shared" si="21"/>
        <v>0.21578440511671151</v>
      </c>
      <c r="H165" s="710"/>
    </row>
    <row r="166" spans="1:8" ht="25.5" outlineLevel="1">
      <c r="A166" s="37" t="s">
        <v>550</v>
      </c>
      <c r="B166" s="975" t="s">
        <v>359</v>
      </c>
      <c r="C166" s="62" t="s">
        <v>28</v>
      </c>
      <c r="D166" s="353">
        <f>'MEMORIAS CANT'!X21</f>
        <v>6969.8666666666668</v>
      </c>
      <c r="E166" s="670">
        <f>ROUND('9. APU PISOS'!H375,0)</f>
        <v>28289</v>
      </c>
      <c r="F166" s="1155">
        <f t="shared" si="20"/>
        <v>197170558</v>
      </c>
      <c r="G166" s="374">
        <f t="shared" si="21"/>
        <v>3.2426461582487756E-2</v>
      </c>
      <c r="H166" s="63"/>
    </row>
    <row r="167" spans="1:8" ht="38.25" outlineLevel="1">
      <c r="A167" s="37" t="s">
        <v>551</v>
      </c>
      <c r="B167" s="975" t="s">
        <v>356</v>
      </c>
      <c r="C167" s="62" t="s">
        <v>28</v>
      </c>
      <c r="D167" s="353">
        <f>'MEMORIAS CANT'!X22</f>
        <v>441.19999999999993</v>
      </c>
      <c r="E167" s="670">
        <f>ROUND('9. APU PISOS'!H423,0)</f>
        <v>48416</v>
      </c>
      <c r="F167" s="1155">
        <f t="shared" si="20"/>
        <v>21361139</v>
      </c>
      <c r="G167" s="374">
        <f t="shared" si="21"/>
        <v>3.5130303437173457E-3</v>
      </c>
      <c r="H167" s="63"/>
    </row>
    <row r="168" spans="1:8" ht="38.25" outlineLevel="1">
      <c r="A168" s="37" t="s">
        <v>552</v>
      </c>
      <c r="B168" s="736" t="s">
        <v>593</v>
      </c>
      <c r="C168" s="62" t="s">
        <v>28</v>
      </c>
      <c r="D168" s="353">
        <f>'MEMORIAS CANT'!X23</f>
        <v>370.6</v>
      </c>
      <c r="E168" s="670">
        <f>ROUND('9. APU PISOS'!H471,0)</f>
        <v>48416</v>
      </c>
      <c r="F168" s="1155">
        <f t="shared" si="20"/>
        <v>17942970</v>
      </c>
      <c r="G168" s="374">
        <f t="shared" si="21"/>
        <v>2.9508818825817306E-3</v>
      </c>
      <c r="H168" s="63"/>
    </row>
    <row r="169" spans="1:8" ht="25.5" outlineLevel="1">
      <c r="A169" s="37" t="s">
        <v>553</v>
      </c>
      <c r="B169" s="737" t="s">
        <v>260</v>
      </c>
      <c r="C169" s="132" t="s">
        <v>19</v>
      </c>
      <c r="D169" s="354">
        <f>'MEMORIAS CANT'!X27</f>
        <v>79.324999999999989</v>
      </c>
      <c r="E169" s="688">
        <f>ROUND('9. APU PISOS'!H519,0)</f>
        <v>396750</v>
      </c>
      <c r="F169" s="1155">
        <f t="shared" si="20"/>
        <v>31472194</v>
      </c>
      <c r="G169" s="375">
        <f t="shared" si="21"/>
        <v>5.1758837628161584E-3</v>
      </c>
      <c r="H169" s="123"/>
    </row>
    <row r="170" spans="1:8" ht="21" customHeight="1" outlineLevel="1" thickBot="1">
      <c r="A170" s="37" t="s">
        <v>1063</v>
      </c>
      <c r="B170" s="738" t="s">
        <v>259</v>
      </c>
      <c r="C170" s="90" t="s">
        <v>28</v>
      </c>
      <c r="D170" s="352">
        <f>'MEMORIAS CANT'!X28</f>
        <v>121.38</v>
      </c>
      <c r="E170" s="680">
        <f>ROUND('9. APU PISOS'!H567,0)</f>
        <v>143750</v>
      </c>
      <c r="F170" s="1156">
        <f t="shared" si="20"/>
        <v>17448375</v>
      </c>
      <c r="G170" s="370">
        <f t="shared" si="21"/>
        <v>2.8695413116107313E-3</v>
      </c>
      <c r="H170" s="56"/>
    </row>
    <row r="171" spans="1:8" ht="13.5" thickBot="1">
      <c r="A171" s="91" t="s">
        <v>23</v>
      </c>
      <c r="B171" s="731" t="s">
        <v>24</v>
      </c>
      <c r="C171" s="43"/>
      <c r="D171" s="339"/>
      <c r="E171" s="44"/>
      <c r="F171" s="1157">
        <f>F157+F162</f>
        <v>2730173180</v>
      </c>
      <c r="G171" s="45">
        <f>F171/$F$221</f>
        <v>0.44900139570943665</v>
      </c>
      <c r="H171" s="46"/>
    </row>
    <row r="172" spans="1:8" ht="13.5" thickBot="1">
      <c r="B172" s="724" t="s">
        <v>24</v>
      </c>
      <c r="E172" s="38"/>
      <c r="F172" s="36" t="s">
        <v>24</v>
      </c>
      <c r="G172" s="36"/>
      <c r="H172" s="36"/>
    </row>
    <row r="173" spans="1:8" ht="13.5" thickBot="1">
      <c r="A173" s="48">
        <v>10</v>
      </c>
      <c r="B173" s="739" t="s">
        <v>115</v>
      </c>
      <c r="C173" s="21" t="s">
        <v>9</v>
      </c>
      <c r="D173" s="367" t="s">
        <v>10</v>
      </c>
      <c r="E173" s="23" t="s">
        <v>11</v>
      </c>
      <c r="F173" s="1160" t="s">
        <v>12</v>
      </c>
      <c r="G173" s="24" t="s">
        <v>13</v>
      </c>
      <c r="H173" s="25" t="s">
        <v>14</v>
      </c>
    </row>
    <row r="174" spans="1:8" ht="13.5" outlineLevel="1" thickTop="1">
      <c r="A174" s="81" t="s">
        <v>1230</v>
      </c>
      <c r="B174" s="745" t="s">
        <v>114</v>
      </c>
      <c r="C174" s="95"/>
      <c r="D174" s="355"/>
      <c r="E174" s="96"/>
      <c r="F174" s="68">
        <f>SUM(F175:F175)</f>
        <v>15567896</v>
      </c>
      <c r="G174" s="95"/>
      <c r="H174" s="97"/>
    </row>
    <row r="175" spans="1:8" ht="25.5" outlineLevel="2">
      <c r="A175" s="39" t="s">
        <v>1232</v>
      </c>
      <c r="B175" s="755" t="s">
        <v>157</v>
      </c>
      <c r="C175" s="98" t="s">
        <v>19</v>
      </c>
      <c r="D175" s="356">
        <f>'MEMORIAS CANT'!AC5</f>
        <v>271.43049999999999</v>
      </c>
      <c r="E175" s="713">
        <f>ROUND('10. APU PINTURA'!H39,0)</f>
        <v>57355</v>
      </c>
      <c r="F175" s="1162">
        <f t="shared" ref="F175" si="22">ROUND(+E175*D175,0)</f>
        <v>15567896</v>
      </c>
      <c r="G175" s="374">
        <f>+F175/$F$221</f>
        <v>2.5602797227168407E-3</v>
      </c>
      <c r="H175" s="94"/>
    </row>
    <row r="176" spans="1:8" outlineLevel="1" collapsed="1">
      <c r="A176" s="79" t="s">
        <v>1231</v>
      </c>
      <c r="B176" s="745" t="s">
        <v>59</v>
      </c>
      <c r="C176" s="99"/>
      <c r="D176" s="357"/>
      <c r="E176" s="100"/>
      <c r="F176" s="84">
        <f>SUM(F177:F179)</f>
        <v>22625840</v>
      </c>
      <c r="G176" s="99"/>
      <c r="H176" s="101"/>
    </row>
    <row r="177" spans="1:8" ht="25.5" outlineLevel="1">
      <c r="A177" s="39" t="s">
        <v>1233</v>
      </c>
      <c r="B177" s="755" t="s">
        <v>128</v>
      </c>
      <c r="C177" s="98" t="s">
        <v>19</v>
      </c>
      <c r="D177" s="356">
        <f>'MEMORIAS CANT'!AC7</f>
        <v>271.43049999999999</v>
      </c>
      <c r="E177" s="713">
        <f>ROUND('10. APU PINTURA'!H87,0)</f>
        <v>29217</v>
      </c>
      <c r="F177" s="1162">
        <f t="shared" ref="F177:F179" si="23">ROUND(+E177*D177,0)</f>
        <v>7930385</v>
      </c>
      <c r="G177" s="376">
        <f>+F177/$F$221</f>
        <v>1.3042227356116585E-3</v>
      </c>
      <c r="H177" s="94"/>
    </row>
    <row r="178" spans="1:8" ht="25.5" outlineLevel="1">
      <c r="A178" s="39" t="s">
        <v>1234</v>
      </c>
      <c r="B178" s="755" t="s">
        <v>252</v>
      </c>
      <c r="C178" s="98" t="s">
        <v>19</v>
      </c>
      <c r="D178" s="356">
        <f>'MEMORIAS CANT'!AC8</f>
        <v>271.43049999999999</v>
      </c>
      <c r="E178" s="713">
        <f>ROUND('10. APU PINTURA'!H136,0)</f>
        <v>53146</v>
      </c>
      <c r="F178" s="1162">
        <f t="shared" si="23"/>
        <v>14425445</v>
      </c>
      <c r="G178" s="377">
        <f>+F178/$F$221</f>
        <v>2.3723934386937731E-3</v>
      </c>
      <c r="H178" s="94"/>
    </row>
    <row r="179" spans="1:8" ht="39" outlineLevel="1" thickBot="1">
      <c r="A179" s="39" t="s">
        <v>1235</v>
      </c>
      <c r="B179" s="738" t="s">
        <v>658</v>
      </c>
      <c r="C179" s="133" t="s">
        <v>19</v>
      </c>
      <c r="D179" s="358">
        <f>'MEMORIAS CANT'!AC9</f>
        <v>8.2259999999999991</v>
      </c>
      <c r="E179" s="714">
        <f>ROUND('10. APU PINTURA'!H184,0)</f>
        <v>32824</v>
      </c>
      <c r="F179" s="1163">
        <f t="shared" si="23"/>
        <v>270010</v>
      </c>
      <c r="G179" s="378">
        <f>+F179/$F$221</f>
        <v>4.4405559231046649E-5</v>
      </c>
      <c r="H179" s="109"/>
    </row>
    <row r="180" spans="1:8" ht="13.5" collapsed="1" thickBot="1">
      <c r="A180" s="42" t="s">
        <v>23</v>
      </c>
      <c r="B180" s="731"/>
      <c r="C180" s="43"/>
      <c r="D180" s="339"/>
      <c r="E180" s="44"/>
      <c r="F180" s="1157">
        <f>F174+F176</f>
        <v>38193736</v>
      </c>
      <c r="G180" s="45">
        <f>F180/$F$221</f>
        <v>6.2813014562533194E-3</v>
      </c>
      <c r="H180" s="46"/>
    </row>
    <row r="181" spans="1:8" ht="13.5" thickBot="1">
      <c r="B181" s="725"/>
      <c r="C181" s="10"/>
      <c r="D181" s="333"/>
      <c r="E181" s="49"/>
      <c r="F181" s="102"/>
      <c r="G181" s="102"/>
      <c r="H181" s="102"/>
    </row>
    <row r="182" spans="1:8" ht="13.5" thickBot="1">
      <c r="A182" s="48">
        <v>11</v>
      </c>
      <c r="B182" s="728" t="s">
        <v>67</v>
      </c>
      <c r="C182" s="103" t="s">
        <v>9</v>
      </c>
      <c r="D182" s="367" t="s">
        <v>10</v>
      </c>
      <c r="E182" s="23" t="s">
        <v>11</v>
      </c>
      <c r="F182" s="23" t="s">
        <v>12</v>
      </c>
      <c r="G182" s="22" t="s">
        <v>13</v>
      </c>
      <c r="H182" s="25" t="s">
        <v>14</v>
      </c>
    </row>
    <row r="183" spans="1:8" ht="13.5" outlineLevel="1" thickTop="1">
      <c r="A183" s="104" t="s">
        <v>121</v>
      </c>
      <c r="B183" s="756" t="s">
        <v>139</v>
      </c>
      <c r="C183" s="59"/>
      <c r="D183" s="342"/>
      <c r="E183" s="105"/>
      <c r="F183" s="105">
        <f>SUM(F184:F184)</f>
        <v>2362677</v>
      </c>
      <c r="G183" s="59"/>
      <c r="H183" s="106"/>
    </row>
    <row r="184" spans="1:8" ht="36.6" customHeight="1" outlineLevel="2">
      <c r="A184" s="107" t="s">
        <v>122</v>
      </c>
      <c r="B184" s="755" t="s">
        <v>162</v>
      </c>
      <c r="C184" s="93" t="s">
        <v>47</v>
      </c>
      <c r="D184" s="359">
        <v>17</v>
      </c>
      <c r="E184" s="715">
        <f>ROUND('11. APU APARATOS'!H39,0)</f>
        <v>138981</v>
      </c>
      <c r="F184" s="1164">
        <f t="shared" ref="F184" si="24">ROUND(+E184*D184,0)</f>
        <v>2362677</v>
      </c>
      <c r="G184" s="389">
        <f>+F184/$F$221</f>
        <v>3.8856336234706715E-4</v>
      </c>
      <c r="H184" s="94"/>
    </row>
    <row r="185" spans="1:8" outlineLevel="1" collapsed="1">
      <c r="A185" s="104" t="s">
        <v>120</v>
      </c>
      <c r="B185" s="756" t="s">
        <v>68</v>
      </c>
      <c r="C185" s="59"/>
      <c r="D185" s="342"/>
      <c r="E185" s="105"/>
      <c r="F185" s="105">
        <f>SUM(F186:F186)</f>
        <v>22032765</v>
      </c>
      <c r="G185" s="59"/>
      <c r="H185" s="106"/>
    </row>
    <row r="186" spans="1:8" ht="26.25" outlineLevel="1" thickBot="1">
      <c r="A186" s="108" t="s">
        <v>127</v>
      </c>
      <c r="B186" s="757" t="s">
        <v>140</v>
      </c>
      <c r="C186" s="324" t="s">
        <v>28</v>
      </c>
      <c r="D186" s="360">
        <f>17*1.5</f>
        <v>25.5</v>
      </c>
      <c r="E186" s="716">
        <f>+ROUND('11. APU APARATOS'!H95,0)</f>
        <v>864030</v>
      </c>
      <c r="F186" s="1165">
        <f t="shared" ref="F186" si="25">ROUND(+E186*D186,0)</f>
        <v>22032765</v>
      </c>
      <c r="G186" s="379">
        <f>+F186/$F$221</f>
        <v>3.6234852458473074E-3</v>
      </c>
      <c r="H186" s="325"/>
    </row>
    <row r="187" spans="1:8" ht="13.5" collapsed="1" thickBot="1">
      <c r="A187" s="42" t="s">
        <v>23</v>
      </c>
      <c r="B187" s="731" t="s">
        <v>24</v>
      </c>
      <c r="C187" s="43"/>
      <c r="D187" s="339"/>
      <c r="E187" s="44"/>
      <c r="F187" s="1157">
        <f>F183+F185</f>
        <v>24395442</v>
      </c>
      <c r="G187" s="45">
        <f>F187/$F$221</f>
        <v>4.0120486081943749E-3</v>
      </c>
      <c r="H187" s="46"/>
    </row>
    <row r="188" spans="1:8" s="65" customFormat="1" ht="13.5" thickBot="1">
      <c r="A188" s="9"/>
      <c r="B188" s="724" t="s">
        <v>24</v>
      </c>
      <c r="C188" s="1"/>
      <c r="D188" s="332"/>
      <c r="E188" s="38"/>
      <c r="F188" s="36" t="s">
        <v>24</v>
      </c>
      <c r="G188" s="36"/>
      <c r="H188" s="36"/>
    </row>
    <row r="189" spans="1:8" s="65" customFormat="1" ht="13.5" thickBot="1">
      <c r="A189" s="987">
        <v>12</v>
      </c>
      <c r="B189" s="993" t="s">
        <v>69</v>
      </c>
      <c r="C189" s="988" t="s">
        <v>40</v>
      </c>
      <c r="D189" s="723" t="s">
        <v>41</v>
      </c>
      <c r="E189" s="989" t="s">
        <v>42</v>
      </c>
      <c r="F189" s="1158" t="s">
        <v>43</v>
      </c>
      <c r="G189" s="990" t="s">
        <v>13</v>
      </c>
      <c r="H189" s="991" t="s">
        <v>14</v>
      </c>
    </row>
    <row r="190" spans="1:8" s="65" customFormat="1" ht="13.5" outlineLevel="1" thickBot="1">
      <c r="A190" s="1058" t="s">
        <v>1236</v>
      </c>
      <c r="B190" s="1059" t="s">
        <v>69</v>
      </c>
      <c r="C190" s="1060"/>
      <c r="D190" s="1061"/>
      <c r="E190" s="1062"/>
      <c r="F190" s="1062">
        <f>SUM(F191)</f>
        <v>38105586</v>
      </c>
      <c r="G190" s="1062"/>
      <c r="H190" s="1063"/>
    </row>
    <row r="191" spans="1:8" s="65" customFormat="1" ht="21.6" customHeight="1" outlineLevel="2" thickBot="1">
      <c r="A191" s="1064" t="s">
        <v>1238</v>
      </c>
      <c r="B191" s="1055" t="s">
        <v>129</v>
      </c>
      <c r="C191" s="1065" t="s">
        <v>19</v>
      </c>
      <c r="D191" s="1066">
        <v>933</v>
      </c>
      <c r="E191" s="1057">
        <f>ROUND('12. APU EXTERIORES'!H39,0)</f>
        <v>40842</v>
      </c>
      <c r="F191" s="1166">
        <f t="shared" ref="F191" si="26">ROUND(+E191*D191,0)</f>
        <v>38105586</v>
      </c>
      <c r="G191" s="1067">
        <f>+F191/$F$221</f>
        <v>6.2668044004175472E-3</v>
      </c>
      <c r="H191" s="1068"/>
    </row>
    <row r="192" spans="1:8" s="65" customFormat="1" ht="13.5" outlineLevel="1" thickBot="1">
      <c r="A192" s="1058" t="s">
        <v>1237</v>
      </c>
      <c r="B192" s="1059" t="s">
        <v>1161</v>
      </c>
      <c r="C192" s="1060"/>
      <c r="D192" s="1061"/>
      <c r="E192" s="1062"/>
      <c r="F192" s="1167">
        <f>SUM(F193:F198)</f>
        <v>30405020</v>
      </c>
      <c r="G192" s="1062"/>
      <c r="H192" s="1063"/>
    </row>
    <row r="193" spans="1:9" s="65" customFormat="1" ht="63.75" outlineLevel="2">
      <c r="A193" s="1056" t="s">
        <v>1239</v>
      </c>
      <c r="B193" s="1033" t="s">
        <v>1092</v>
      </c>
      <c r="C193" s="1034" t="s">
        <v>19</v>
      </c>
      <c r="D193" s="1073">
        <f>+'12. APU EXTERIORES'!E53</f>
        <v>242.5</v>
      </c>
      <c r="E193" s="1057">
        <f>ROUND('12. APU EXTERIORES'!D53,0)</f>
        <v>76604</v>
      </c>
      <c r="F193" s="1168">
        <f t="shared" ref="F193:F198" si="27">ROUND(+E193*D193,0)</f>
        <v>18576470</v>
      </c>
      <c r="G193" s="966">
        <f t="shared" ref="G193:G198" si="28">+F193/$F$221</f>
        <v>3.05506662304641E-3</v>
      </c>
      <c r="H193" s="94"/>
    </row>
    <row r="194" spans="1:9" s="65" customFormat="1" ht="51" outlineLevel="2">
      <c r="A194" s="1018" t="s">
        <v>1240</v>
      </c>
      <c r="B194" s="1033" t="s">
        <v>1093</v>
      </c>
      <c r="C194" s="1034" t="s">
        <v>964</v>
      </c>
      <c r="D194" s="1073">
        <f>+'12. APU EXTERIORES'!E54</f>
        <v>303</v>
      </c>
      <c r="E194" s="1053">
        <f>ROUND('12. APU EXTERIORES'!D54,0)</f>
        <v>7934</v>
      </c>
      <c r="F194" s="1169">
        <f t="shared" si="27"/>
        <v>2404002</v>
      </c>
      <c r="G194" s="419">
        <f t="shared" si="28"/>
        <v>3.9535962817138109E-4</v>
      </c>
      <c r="H194" s="94"/>
    </row>
    <row r="195" spans="1:9" s="65" customFormat="1" ht="51" outlineLevel="2">
      <c r="A195" s="1018" t="s">
        <v>1241</v>
      </c>
      <c r="B195" s="1035" t="s">
        <v>1094</v>
      </c>
      <c r="C195" s="1036" t="s">
        <v>19</v>
      </c>
      <c r="D195" s="1073">
        <f>+'12. APU EXTERIORES'!E55</f>
        <v>80</v>
      </c>
      <c r="E195" s="1053">
        <f>ROUND('12. APU EXTERIORES'!D55,0)</f>
        <v>76604</v>
      </c>
      <c r="F195" s="1169">
        <f t="shared" si="27"/>
        <v>6128320</v>
      </c>
      <c r="G195" s="419">
        <f t="shared" si="28"/>
        <v>1.0078570302833518E-3</v>
      </c>
      <c r="H195" s="94"/>
    </row>
    <row r="196" spans="1:9" s="65" customFormat="1" ht="25.5" outlineLevel="2">
      <c r="A196" s="1018" t="s">
        <v>1242</v>
      </c>
      <c r="B196" s="1035" t="s">
        <v>1096</v>
      </c>
      <c r="C196" s="1036" t="s">
        <v>47</v>
      </c>
      <c r="D196" s="1073">
        <f>+'12. APU EXTERIORES'!E57</f>
        <v>4</v>
      </c>
      <c r="E196" s="1053">
        <f>ROUND('12. APU EXTERIORES'!D57,0)</f>
        <v>116274</v>
      </c>
      <c r="F196" s="1169">
        <f t="shared" si="27"/>
        <v>465096</v>
      </c>
      <c r="G196" s="419">
        <f t="shared" si="28"/>
        <v>7.6489196607988115E-5</v>
      </c>
      <c r="H196" s="94"/>
    </row>
    <row r="197" spans="1:9" s="65" customFormat="1" ht="76.5" outlineLevel="2">
      <c r="A197" s="1018" t="s">
        <v>1243</v>
      </c>
      <c r="B197" s="1035" t="s">
        <v>1097</v>
      </c>
      <c r="C197" s="1036" t="s">
        <v>47</v>
      </c>
      <c r="D197" s="1073">
        <f>+'12. APU EXTERIORES'!E58</f>
        <v>4</v>
      </c>
      <c r="E197" s="1053">
        <f>ROUND('12. APU EXTERIORES'!D58,0)</f>
        <v>670283</v>
      </c>
      <c r="F197" s="1169">
        <f t="shared" si="27"/>
        <v>2681132</v>
      </c>
      <c r="G197" s="419">
        <f t="shared" si="28"/>
        <v>4.4093613507742142E-4</v>
      </c>
      <c r="H197" s="94"/>
    </row>
    <row r="198" spans="1:9" s="65" customFormat="1" ht="39" outlineLevel="2" thickBot="1">
      <c r="A198" s="1054" t="s">
        <v>1244</v>
      </c>
      <c r="B198" s="1037" t="s">
        <v>1098</v>
      </c>
      <c r="C198" s="1038" t="s">
        <v>47</v>
      </c>
      <c r="D198" s="1074">
        <f>+'12. APU EXTERIORES'!E59</f>
        <v>2</v>
      </c>
      <c r="E198" s="714">
        <f>ROUND('12. APU EXTERIORES'!D59,0)</f>
        <v>75000</v>
      </c>
      <c r="F198" s="1170">
        <f t="shared" si="27"/>
        <v>150000</v>
      </c>
      <c r="G198" s="1019">
        <f t="shared" si="28"/>
        <v>2.4668841467564154E-5</v>
      </c>
      <c r="H198" s="1020"/>
    </row>
    <row r="199" spans="1:9" s="65" customFormat="1" ht="13.5" collapsed="1" thickBot="1">
      <c r="A199" s="42" t="s">
        <v>23</v>
      </c>
      <c r="B199" s="748"/>
      <c r="C199" s="72"/>
      <c r="D199" s="348"/>
      <c r="E199" s="73"/>
      <c r="F199" s="1157">
        <f>+F190+F192</f>
        <v>68510606</v>
      </c>
      <c r="G199" s="45">
        <f>F199/$F$221</f>
        <v>1.1267181855071664E-2</v>
      </c>
      <c r="H199" s="74"/>
    </row>
    <row r="200" spans="1:9" s="65" customFormat="1" ht="13.5" thickBot="1">
      <c r="A200" s="77"/>
      <c r="B200" s="750"/>
      <c r="D200" s="361"/>
      <c r="E200" s="110"/>
      <c r="F200" s="110"/>
    </row>
    <row r="201" spans="1:9" ht="13.5" thickBot="1">
      <c r="A201" s="1069">
        <v>13</v>
      </c>
      <c r="B201" s="1042" t="s">
        <v>70</v>
      </c>
      <c r="C201" s="988" t="s">
        <v>9</v>
      </c>
      <c r="D201" s="723" t="s">
        <v>10</v>
      </c>
      <c r="E201" s="989" t="s">
        <v>11</v>
      </c>
      <c r="F201" s="1158" t="s">
        <v>12</v>
      </c>
      <c r="G201" s="990" t="s">
        <v>13</v>
      </c>
      <c r="H201" s="991" t="s">
        <v>14</v>
      </c>
    </row>
    <row r="202" spans="1:9" s="65" customFormat="1" ht="13.5" outlineLevel="1" collapsed="1" thickBot="1">
      <c r="A202" s="1058" t="s">
        <v>1245</v>
      </c>
      <c r="B202" s="1059" t="s">
        <v>1246</v>
      </c>
      <c r="C202" s="1060"/>
      <c r="D202" s="1061"/>
      <c r="E202" s="1062"/>
      <c r="F202" s="1062">
        <f>SUM(F203:F208)</f>
        <v>386849237</v>
      </c>
      <c r="G202" s="1062"/>
      <c r="H202" s="1063"/>
    </row>
    <row r="203" spans="1:9" ht="38.25" outlineLevel="1">
      <c r="A203" s="1070" t="s">
        <v>1247</v>
      </c>
      <c r="B203" s="758" t="s">
        <v>163</v>
      </c>
      <c r="C203" s="92" t="s">
        <v>47</v>
      </c>
      <c r="D203" s="1071">
        <f>+'MEMORIAS CANT'!AC14</f>
        <v>11</v>
      </c>
      <c r="E203" s="1072">
        <f>ROUND('13. APU AMOBLAMIENTO'!H39,0)</f>
        <v>2666737</v>
      </c>
      <c r="F203" s="1171">
        <f t="shared" ref="F203:F208" si="29">ROUND(+E203*D203,0)</f>
        <v>29334107</v>
      </c>
      <c r="G203" s="380">
        <f t="shared" ref="G203:G208" si="30">+F203/$F$221</f>
        <v>4.8242562345037591E-3</v>
      </c>
      <c r="H203" s="115"/>
    </row>
    <row r="204" spans="1:9" ht="76.5" outlineLevel="1">
      <c r="A204" s="1070" t="s">
        <v>1248</v>
      </c>
      <c r="B204" s="733" t="s">
        <v>201</v>
      </c>
      <c r="C204" s="112" t="s">
        <v>47</v>
      </c>
      <c r="D204" s="428">
        <f>+'MEMORIAS CANT'!AC15</f>
        <v>44</v>
      </c>
      <c r="E204" s="717">
        <f>ROUND('13. APU AMOBLAMIENTO'!H87,0)</f>
        <v>1067649</v>
      </c>
      <c r="F204" s="1172">
        <f t="shared" si="29"/>
        <v>46976556</v>
      </c>
      <c r="G204" s="381">
        <f t="shared" si="30"/>
        <v>7.7257147510409975E-3</v>
      </c>
      <c r="H204" s="113"/>
    </row>
    <row r="205" spans="1:9" ht="76.5" outlineLevel="1">
      <c r="A205" s="1070" t="s">
        <v>1249</v>
      </c>
      <c r="B205" s="733" t="s">
        <v>164</v>
      </c>
      <c r="C205" s="112" t="s">
        <v>47</v>
      </c>
      <c r="D205" s="429">
        <f>'MEMORIAS CANT'!AC16</f>
        <v>88</v>
      </c>
      <c r="E205" s="717">
        <f>ROUND('13. APU AMOBLAMIENTO'!H135,0)</f>
        <v>1266649</v>
      </c>
      <c r="F205" s="1172">
        <f t="shared" si="29"/>
        <v>111465112</v>
      </c>
      <c r="G205" s="382">
        <f t="shared" si="30"/>
        <v>1.8331434513948551E-2</v>
      </c>
      <c r="H205" s="116"/>
      <c r="I205" s="3"/>
    </row>
    <row r="206" spans="1:9" ht="51" outlineLevel="1">
      <c r="A206" s="1070" t="s">
        <v>1250</v>
      </c>
      <c r="B206" s="759" t="s">
        <v>780</v>
      </c>
      <c r="C206" s="260" t="s">
        <v>47</v>
      </c>
      <c r="D206" s="428">
        <f>+'MEMORIAS CANT'!AC17</f>
        <v>20</v>
      </c>
      <c r="E206" s="717">
        <f>ROUND('13. APU AMOBLAMIENTO'!H185,0)</f>
        <v>5773526</v>
      </c>
      <c r="F206" s="1172">
        <f t="shared" si="29"/>
        <v>115470520</v>
      </c>
      <c r="G206" s="382">
        <f t="shared" si="30"/>
        <v>1.8990159680381306E-2</v>
      </c>
      <c r="H206" s="116"/>
    </row>
    <row r="207" spans="1:9" ht="38.25" outlineLevel="1">
      <c r="A207" s="1070" t="s">
        <v>1251</v>
      </c>
      <c r="B207" s="759" t="s">
        <v>388</v>
      </c>
      <c r="C207" s="260" t="s">
        <v>47</v>
      </c>
      <c r="D207" s="362">
        <v>47</v>
      </c>
      <c r="E207" s="717">
        <f>ROUND('13. APU AMOBLAMIENTO'!H233,0)</f>
        <v>1636968</v>
      </c>
      <c r="F207" s="1172">
        <f t="shared" si="29"/>
        <v>76937496</v>
      </c>
      <c r="G207" s="382">
        <f t="shared" si="30"/>
        <v>1.2653059278235675E-2</v>
      </c>
      <c r="H207" s="116"/>
    </row>
    <row r="208" spans="1:9" ht="39" outlineLevel="1" thickBot="1">
      <c r="A208" s="1070" t="s">
        <v>1252</v>
      </c>
      <c r="B208" s="760" t="s">
        <v>387</v>
      </c>
      <c r="C208" s="7" t="s">
        <v>47</v>
      </c>
      <c r="D208" s="363">
        <v>2</v>
      </c>
      <c r="E208" s="718">
        <f>ROUND('13. APU AMOBLAMIENTO'!H281,0)</f>
        <v>3332723</v>
      </c>
      <c r="F208" s="1173">
        <f t="shared" si="29"/>
        <v>6665446</v>
      </c>
      <c r="G208" s="383">
        <f t="shared" si="30"/>
        <v>1.0961922045640642E-3</v>
      </c>
      <c r="H208" s="181"/>
    </row>
    <row r="209" spans="1:9" ht="13.5" collapsed="1" thickBot="1">
      <c r="A209" s="42" t="s">
        <v>23</v>
      </c>
      <c r="B209" s="731"/>
      <c r="C209" s="43"/>
      <c r="D209" s="339"/>
      <c r="E209" s="117"/>
      <c r="F209" s="1157">
        <f>SUM(F203:F208)</f>
        <v>386849237</v>
      </c>
      <c r="G209" s="45">
        <f>F209/$F$221</f>
        <v>6.3620816662674357E-2</v>
      </c>
      <c r="H209" s="46"/>
    </row>
    <row r="210" spans="1:9" ht="13.5" thickBot="1">
      <c r="A210" s="19"/>
      <c r="B210" s="731"/>
      <c r="C210" s="43"/>
      <c r="D210" s="339"/>
      <c r="E210" s="44"/>
      <c r="F210" s="1174"/>
      <c r="G210" s="46"/>
      <c r="H210" s="46"/>
    </row>
    <row r="211" spans="1:9" ht="13.5" thickBot="1">
      <c r="A211" s="48">
        <v>14</v>
      </c>
      <c r="B211" s="739" t="s">
        <v>73</v>
      </c>
      <c r="C211" s="21" t="s">
        <v>9</v>
      </c>
      <c r="D211" s="367" t="s">
        <v>10</v>
      </c>
      <c r="E211" s="23" t="s">
        <v>11</v>
      </c>
      <c r="F211" s="1160" t="s">
        <v>12</v>
      </c>
      <c r="G211" s="22" t="s">
        <v>13</v>
      </c>
      <c r="H211" s="25" t="s">
        <v>14</v>
      </c>
    </row>
    <row r="212" spans="1:9" ht="13.5" outlineLevel="1" thickTop="1">
      <c r="A212" s="104" t="s">
        <v>56</v>
      </c>
      <c r="B212" s="761" t="s">
        <v>74</v>
      </c>
      <c r="C212" s="95"/>
      <c r="D212" s="364"/>
      <c r="E212" s="96"/>
      <c r="F212" s="105">
        <f>SUM(F213:F213)</f>
        <v>44875195</v>
      </c>
      <c r="G212" s="95"/>
      <c r="H212" s="97"/>
    </row>
    <row r="213" spans="1:9" ht="65.25" customHeight="1" outlineLevel="2">
      <c r="A213" s="119" t="s">
        <v>58</v>
      </c>
      <c r="B213" s="762" t="s">
        <v>136</v>
      </c>
      <c r="C213" s="62" t="s">
        <v>19</v>
      </c>
      <c r="D213" s="365">
        <f>'MEMORIAS CANT'!AC23</f>
        <v>34.935000000000002</v>
      </c>
      <c r="E213" s="719">
        <f>ROUND('14. APU CARP. METAL'!H39,0)</f>
        <v>1284534</v>
      </c>
      <c r="F213" s="1175">
        <f t="shared" ref="F213" si="31">ROUND(+E213*D213,0)</f>
        <v>44875195</v>
      </c>
      <c r="G213" s="381">
        <f>+F213/$F$221</f>
        <v>7.3801271418735175E-3</v>
      </c>
      <c r="H213" s="120"/>
      <c r="I213" s="650"/>
    </row>
    <row r="214" spans="1:9" outlineLevel="1">
      <c r="A214" s="104" t="s">
        <v>176</v>
      </c>
      <c r="B214" s="761" t="s">
        <v>133</v>
      </c>
      <c r="C214" s="99"/>
      <c r="D214" s="357"/>
      <c r="E214" s="96"/>
      <c r="F214" s="105">
        <f>SUM(F215)</f>
        <v>20125263</v>
      </c>
      <c r="G214" s="95"/>
      <c r="H214" s="97"/>
    </row>
    <row r="215" spans="1:9" ht="25.5" outlineLevel="2">
      <c r="A215" s="121" t="s">
        <v>177</v>
      </c>
      <c r="B215" s="762" t="s">
        <v>135</v>
      </c>
      <c r="C215" s="62" t="s">
        <v>47</v>
      </c>
      <c r="D215" s="365">
        <f>'MEMORIAS CANT'!AC25</f>
        <v>17</v>
      </c>
      <c r="E215" s="719">
        <f>ROUND('14. APU CARP. METAL'!H87,0)</f>
        <v>1183839</v>
      </c>
      <c r="F215" s="1175">
        <f t="shared" ref="F215" si="32">ROUND(+E215*D215,0)</f>
        <v>20125263</v>
      </c>
      <c r="G215" s="381">
        <f>+F215/$F$221</f>
        <v>3.3097794829335639E-3</v>
      </c>
      <c r="H215" s="94"/>
    </row>
    <row r="216" spans="1:9" outlineLevel="1" collapsed="1">
      <c r="A216" s="104" t="s">
        <v>1253</v>
      </c>
      <c r="B216" s="763" t="s">
        <v>134</v>
      </c>
      <c r="C216" s="99"/>
      <c r="D216" s="357"/>
      <c r="E216" s="99"/>
      <c r="F216" s="105">
        <f>SUM(F217:F218)</f>
        <v>31845964</v>
      </c>
      <c r="G216" s="95"/>
      <c r="H216" s="97"/>
    </row>
    <row r="217" spans="1:9" ht="25.5" outlineLevel="1">
      <c r="A217" s="121" t="s">
        <v>1254</v>
      </c>
      <c r="B217" s="762" t="s">
        <v>660</v>
      </c>
      <c r="C217" s="62" t="s">
        <v>47</v>
      </c>
      <c r="D217" s="365">
        <f>'MEMORIAS CANT'!AC27</f>
        <v>17</v>
      </c>
      <c r="E217" s="719">
        <f>ROUND('14. APU CARP. METAL'!H135,0)</f>
        <v>1511399</v>
      </c>
      <c r="F217" s="1175">
        <f t="shared" ref="F217:F218" si="33">ROUND(+E217*D217,0)</f>
        <v>25693783</v>
      </c>
      <c r="G217" s="374">
        <f>+F217/$F$221</f>
        <v>4.2255723968599663E-3</v>
      </c>
      <c r="H217" s="94"/>
    </row>
    <row r="218" spans="1:9" ht="26.25" outlineLevel="1" thickBot="1">
      <c r="A218" s="55" t="s">
        <v>1255</v>
      </c>
      <c r="B218" s="764" t="s">
        <v>659</v>
      </c>
      <c r="C218" s="64" t="s">
        <v>47</v>
      </c>
      <c r="D218" s="366">
        <f>'MEMORIAS CANT'!AC28</f>
        <v>17</v>
      </c>
      <c r="E218" s="720">
        <f>+ROUND('14. APU CARP. METAL'!H183,0)</f>
        <v>361893</v>
      </c>
      <c r="F218" s="1156">
        <f t="shared" si="33"/>
        <v>6152181</v>
      </c>
      <c r="G218" s="384">
        <f>+F218/$F$221</f>
        <v>1.0117811851250687E-3</v>
      </c>
      <c r="H218" s="135"/>
    </row>
    <row r="219" spans="1:9" ht="13.5" collapsed="1" thickBot="1">
      <c r="A219" s="86" t="s">
        <v>23</v>
      </c>
      <c r="B219" s="731" t="s">
        <v>24</v>
      </c>
      <c r="C219" s="43"/>
      <c r="D219" s="339"/>
      <c r="E219" s="44"/>
      <c r="F219" s="1176">
        <f>F216+F214+F212</f>
        <v>96846422</v>
      </c>
      <c r="G219" s="45">
        <f>F219/$F$221</f>
        <v>1.5927260206792117E-2</v>
      </c>
      <c r="H219" s="46"/>
    </row>
    <row r="220" spans="1:9" ht="13.5" thickBot="1">
      <c r="A220" s="1"/>
    </row>
    <row r="221" spans="1:9">
      <c r="A221" s="1"/>
      <c r="B221" s="1121" t="s">
        <v>130</v>
      </c>
      <c r="C221" s="1122"/>
      <c r="D221" s="1123"/>
      <c r="E221" s="1124"/>
      <c r="F221" s="1177">
        <f>F26+F38+F54+F62+F68+F116+F143+F154+F171+F180+F187+F199+F209+F219</f>
        <v>6080544974</v>
      </c>
      <c r="G221" s="650"/>
    </row>
    <row r="222" spans="1:9">
      <c r="A222" s="1"/>
      <c r="B222" s="1125" t="s">
        <v>165</v>
      </c>
      <c r="C222" s="1126"/>
      <c r="D222" s="1127"/>
      <c r="E222" s="1130">
        <f>+'CALCULO AU'!C37</f>
        <v>0.109</v>
      </c>
      <c r="F222" s="1178">
        <f>+'CALCULO AU'!H35</f>
        <v>662850914</v>
      </c>
    </row>
    <row r="223" spans="1:9">
      <c r="A223" s="1"/>
      <c r="B223" s="1125" t="s">
        <v>166</v>
      </c>
      <c r="C223" s="1126"/>
      <c r="D223" s="1127"/>
      <c r="E223" s="1130">
        <v>0.05</v>
      </c>
      <c r="F223" s="1178">
        <f>ROUND($F$221*E223,0)</f>
        <v>304027249</v>
      </c>
    </row>
    <row r="224" spans="1:9" hidden="1">
      <c r="A224" s="1"/>
      <c r="B224" s="1125" t="s">
        <v>1103</v>
      </c>
      <c r="C224" s="1126"/>
      <c r="D224" s="1127"/>
      <c r="E224" s="924"/>
      <c r="F224" s="1179"/>
      <c r="I224" s="421"/>
    </row>
    <row r="225" spans="1:9">
      <c r="A225" s="1"/>
      <c r="B225" s="1128" t="s">
        <v>1287</v>
      </c>
      <c r="C225" s="1110"/>
      <c r="D225" s="1131"/>
      <c r="E225" s="1130"/>
      <c r="F225" s="1178">
        <f>+$F$233</f>
        <v>166878641</v>
      </c>
      <c r="I225" s="421"/>
    </row>
    <row r="226" spans="1:9" ht="26.25" thickBot="1">
      <c r="A226" s="1"/>
      <c r="B226" s="765" t="s">
        <v>1288</v>
      </c>
      <c r="C226" s="385"/>
      <c r="D226" s="386"/>
      <c r="E226" s="387"/>
      <c r="F226" s="1180">
        <f>SUM(F221:F225)</f>
        <v>7214301778</v>
      </c>
    </row>
    <row r="227" spans="1:9" ht="13.5" thickBot="1">
      <c r="A227" s="1"/>
    </row>
    <row r="228" spans="1:9" s="65" customFormat="1" ht="13.5" thickBot="1">
      <c r="A228" s="1142"/>
      <c r="B228" s="1143" t="s">
        <v>1286</v>
      </c>
      <c r="C228" s="1142" t="s">
        <v>40</v>
      </c>
      <c r="D228" s="1144" t="s">
        <v>41</v>
      </c>
      <c r="E228" s="1145" t="s">
        <v>42</v>
      </c>
      <c r="F228" s="1145" t="s">
        <v>43</v>
      </c>
      <c r="G228" s="1146" t="s">
        <v>13</v>
      </c>
      <c r="H228" s="991" t="s">
        <v>14</v>
      </c>
    </row>
    <row r="229" spans="1:9" outlineLevel="1" collapsed="1">
      <c r="A229" s="1150"/>
      <c r="B229" s="1151" t="s">
        <v>1145</v>
      </c>
      <c r="C229" s="99"/>
      <c r="D229" s="357"/>
      <c r="E229" s="100"/>
      <c r="F229" s="1181"/>
      <c r="G229" s="1147"/>
      <c r="H229" s="992"/>
    </row>
    <row r="230" spans="1:9" s="65" customFormat="1" ht="23.45" customHeight="1" outlineLevel="1">
      <c r="A230" s="1152"/>
      <c r="B230" s="994" t="s">
        <v>782</v>
      </c>
      <c r="C230" s="986" t="s">
        <v>762</v>
      </c>
      <c r="D230" s="418">
        <v>1</v>
      </c>
      <c r="E230" s="1129">
        <f>+ROUND('15. ANEXO SST-PMT-PMA'!I102,0)</f>
        <v>66596679</v>
      </c>
      <c r="F230" s="1169">
        <f t="shared" ref="F230:F232" si="34">ROUND(+E230*D230,0)</f>
        <v>66596679</v>
      </c>
      <c r="G230" s="1148">
        <f>+F230/$F$221</f>
        <v>1.0952419443448392E-2</v>
      </c>
      <c r="H230" s="330"/>
    </row>
    <row r="231" spans="1:9" s="65" customFormat="1" ht="23.45" customHeight="1" outlineLevel="1">
      <c r="A231" s="1152"/>
      <c r="B231" s="994" t="s">
        <v>783</v>
      </c>
      <c r="C231" s="986" t="s">
        <v>762</v>
      </c>
      <c r="D231" s="418">
        <v>1</v>
      </c>
      <c r="E231" s="1129">
        <f>+ROUND('15. ANEXO SST-PMT-PMA'!I151+'15. ANEXO SST-PMT-PMA'!I35,0)</f>
        <v>78869179</v>
      </c>
      <c r="F231" s="1169">
        <f t="shared" si="34"/>
        <v>78869179</v>
      </c>
      <c r="G231" s="1148">
        <f>+F231/$F$221</f>
        <v>1.2970741822852933E-2</v>
      </c>
      <c r="H231" s="330"/>
    </row>
    <row r="232" spans="1:9" s="65" customFormat="1" ht="23.45" customHeight="1" outlineLevel="1" thickBot="1">
      <c r="A232" s="1152"/>
      <c r="B232" s="994" t="s">
        <v>784</v>
      </c>
      <c r="C232" s="986" t="s">
        <v>762</v>
      </c>
      <c r="D232" s="418">
        <v>1</v>
      </c>
      <c r="E232" s="1129">
        <f>+ROUND('15. ANEXO SST-PMT-PMA'!I205,0)</f>
        <v>21412783</v>
      </c>
      <c r="F232" s="1169">
        <f t="shared" si="34"/>
        <v>21412783</v>
      </c>
      <c r="G232" s="1149">
        <f>+F232/$F$221</f>
        <v>3.521523661375685E-3</v>
      </c>
      <c r="H232" s="331"/>
    </row>
    <row r="233" spans="1:9" ht="13.5" thickBot="1">
      <c r="A233" s="1153" t="s">
        <v>23</v>
      </c>
      <c r="B233" s="750"/>
      <c r="C233" s="65"/>
      <c r="D233" s="361"/>
      <c r="E233" s="110"/>
      <c r="F233" s="1182">
        <f>SUM(F230:F232)</f>
        <v>166878641</v>
      </c>
      <c r="G233" s="1154">
        <f>F233/$F$221</f>
        <v>2.7444684927677012E-2</v>
      </c>
      <c r="H233" s="74"/>
    </row>
    <row r="234" spans="1:9" ht="8.25" customHeight="1">
      <c r="A234" s="1"/>
      <c r="F234" s="651"/>
      <c r="H234" s="1082"/>
    </row>
    <row r="235" spans="1:9" s="9" customFormat="1" ht="18" customHeight="1">
      <c r="A235" s="5"/>
      <c r="B235" s="1132" t="s">
        <v>770</v>
      </c>
      <c r="C235" s="1126"/>
      <c r="D235" s="1127"/>
      <c r="E235" s="1111"/>
      <c r="F235" s="1183">
        <f>ROUND(0.8%*F226,0)</f>
        <v>57714414</v>
      </c>
      <c r="I235" s="19"/>
    </row>
    <row r="236" spans="1:9" ht="8.25" customHeight="1">
      <c r="A236" s="1"/>
      <c r="F236" s="651"/>
      <c r="H236" s="1082"/>
    </row>
    <row r="237" spans="1:9" s="196" customFormat="1" ht="25.5">
      <c r="A237" s="1119"/>
      <c r="B237" s="1120" t="s">
        <v>1290</v>
      </c>
      <c r="C237" s="1116"/>
      <c r="D237" s="1117" t="s">
        <v>1293</v>
      </c>
      <c r="E237" s="1118"/>
      <c r="F237" s="1184"/>
      <c r="G237" s="232"/>
      <c r="H237" s="1096"/>
    </row>
    <row r="238" spans="1:9" s="196" customFormat="1">
      <c r="A238" s="234"/>
      <c r="B238" s="211" t="s">
        <v>766</v>
      </c>
      <c r="C238" s="1112">
        <v>0.02</v>
      </c>
      <c r="D238" s="1113">
        <f>+$F$226</f>
        <v>7214301778</v>
      </c>
      <c r="E238" s="1114"/>
      <c r="F238" s="1185">
        <f t="shared" ref="F238:F244" si="35">ROUND(C238*D238,0)</f>
        <v>144286036</v>
      </c>
      <c r="G238" s="212"/>
      <c r="I238" s="1105">
        <f>+F238-'[1]CALCULO AU'!$H$44</f>
        <v>144286036</v>
      </c>
    </row>
    <row r="239" spans="1:9" s="196" customFormat="1">
      <c r="A239" s="234"/>
      <c r="B239" s="211" t="s">
        <v>650</v>
      </c>
      <c r="C239" s="1112">
        <v>0.03</v>
      </c>
      <c r="D239" s="1113">
        <f t="shared" ref="D239:D244" si="36">+$F$226</f>
        <v>7214301778</v>
      </c>
      <c r="E239" s="1114"/>
      <c r="F239" s="1185">
        <f t="shared" si="35"/>
        <v>216429053</v>
      </c>
      <c r="G239" s="212"/>
      <c r="I239" s="1105" t="e">
        <f>+F239-'[1]CALCULO AU'!$H$445</f>
        <v>#REF!</v>
      </c>
    </row>
    <row r="240" spans="1:9" s="196" customFormat="1">
      <c r="A240" s="234"/>
      <c r="B240" s="211" t="s">
        <v>767</v>
      </c>
      <c r="C240" s="1115">
        <v>1.4999999999999999E-2</v>
      </c>
      <c r="D240" s="1113">
        <f t="shared" si="36"/>
        <v>7214301778</v>
      </c>
      <c r="E240" s="1114"/>
      <c r="F240" s="1185">
        <f t="shared" si="35"/>
        <v>108214527</v>
      </c>
      <c r="G240" s="212"/>
      <c r="I240" s="1105">
        <f>+F240-'[1]CALCULO AU'!$H$46</f>
        <v>108214527</v>
      </c>
    </row>
    <row r="241" spans="1:9" s="196" customFormat="1">
      <c r="A241" s="234"/>
      <c r="B241" s="211" t="s">
        <v>651</v>
      </c>
      <c r="C241" s="1115">
        <v>5.0000000000000001E-3</v>
      </c>
      <c r="D241" s="1113">
        <f t="shared" si="36"/>
        <v>7214301778</v>
      </c>
      <c r="E241" s="1114"/>
      <c r="F241" s="1185">
        <f t="shared" si="35"/>
        <v>36071509</v>
      </c>
      <c r="G241" s="212"/>
      <c r="I241" s="1105">
        <f>+F241-'[1]CALCULO AU'!$H$47</f>
        <v>36071509</v>
      </c>
    </row>
    <row r="242" spans="1:9" s="196" customFormat="1">
      <c r="A242" s="234"/>
      <c r="B242" s="211" t="s">
        <v>649</v>
      </c>
      <c r="C242" s="1115">
        <v>0.01</v>
      </c>
      <c r="D242" s="1113">
        <f t="shared" si="36"/>
        <v>7214301778</v>
      </c>
      <c r="E242" s="1114"/>
      <c r="F242" s="1185">
        <f t="shared" si="35"/>
        <v>72143018</v>
      </c>
      <c r="G242" s="212"/>
      <c r="I242" s="1105">
        <f>+F242-'[1]CALCULO AU'!$H$48</f>
        <v>72143018</v>
      </c>
    </row>
    <row r="243" spans="1:9" s="196" customFormat="1">
      <c r="A243" s="234"/>
      <c r="B243" s="211" t="s">
        <v>662</v>
      </c>
      <c r="C243" s="1115">
        <v>0.05</v>
      </c>
      <c r="D243" s="1113">
        <f t="shared" si="36"/>
        <v>7214301778</v>
      </c>
      <c r="E243" s="1114"/>
      <c r="F243" s="1185">
        <f t="shared" si="35"/>
        <v>360715089</v>
      </c>
      <c r="G243" s="212"/>
      <c r="I243" s="1105">
        <f>+F243-'[1]CALCULO AU'!$H$49</f>
        <v>-417197</v>
      </c>
    </row>
    <row r="244" spans="1:9" s="196" customFormat="1">
      <c r="A244" s="234"/>
      <c r="B244" s="211" t="s">
        <v>1277</v>
      </c>
      <c r="C244" s="1115">
        <f>0.004*0.5</f>
        <v>2E-3</v>
      </c>
      <c r="D244" s="1113">
        <f t="shared" si="36"/>
        <v>7214301778</v>
      </c>
      <c r="E244" s="213"/>
      <c r="F244" s="1186">
        <f t="shared" si="35"/>
        <v>14428604</v>
      </c>
      <c r="G244" s="203"/>
      <c r="I244" s="1105">
        <f>+F244-'[1]CALCULO AU'!$H$50</f>
        <v>-16687</v>
      </c>
    </row>
    <row r="245" spans="1:9" s="196" customFormat="1" ht="16.5" customHeight="1">
      <c r="A245" s="234"/>
      <c r="B245" s="1133" t="s">
        <v>1280</v>
      </c>
      <c r="C245" s="1134"/>
      <c r="D245" s="1134"/>
      <c r="E245" s="1134"/>
      <c r="F245" s="1187">
        <f>SUM(F238:F244)</f>
        <v>952287836</v>
      </c>
      <c r="G245" s="1135"/>
      <c r="I245" s="1105" t="e">
        <f>SUM(I238:I244)</f>
        <v>#REF!</v>
      </c>
    </row>
    <row r="246" spans="1:9" s="9" customFormat="1" ht="8.25" customHeight="1">
      <c r="A246" s="1136"/>
      <c r="B246" s="1137"/>
      <c r="C246" s="1136"/>
      <c r="D246" s="1138"/>
      <c r="E246" s="1139"/>
      <c r="F246" s="1188"/>
      <c r="H246" s="1140"/>
    </row>
    <row r="247" spans="1:9" s="196" customFormat="1" ht="16.5" customHeight="1">
      <c r="A247" s="234"/>
      <c r="B247" s="1133" t="s">
        <v>1289</v>
      </c>
      <c r="C247" s="1134"/>
      <c r="D247" s="1134"/>
      <c r="E247" s="1134"/>
      <c r="F247" s="1189">
        <f>+F226+F245+F235</f>
        <v>8224304028</v>
      </c>
      <c r="G247" s="1135"/>
      <c r="I247" s="1105"/>
    </row>
    <row r="248" spans="1:9" s="9" customFormat="1" ht="8.25" customHeight="1">
      <c r="A248" s="1136"/>
      <c r="B248" s="1137"/>
      <c r="C248" s="1136"/>
      <c r="D248" s="1138"/>
      <c r="E248" s="1139"/>
      <c r="F248" s="1188"/>
      <c r="H248" s="1140"/>
    </row>
    <row r="249" spans="1:9" s="196" customFormat="1" ht="20.25" customHeight="1">
      <c r="A249" s="1136"/>
      <c r="B249" s="1132" t="s">
        <v>312</v>
      </c>
      <c r="C249" s="1110"/>
      <c r="D249" s="1131"/>
      <c r="E249" s="1130"/>
      <c r="F249" s="1190">
        <f>+INTERVENTORÍA!H43</f>
        <v>0</v>
      </c>
      <c r="G249" s="9"/>
      <c r="H249" s="9"/>
      <c r="I249" s="9"/>
    </row>
    <row r="250" spans="1:9" s="9" customFormat="1" ht="8.25" customHeight="1">
      <c r="A250" s="1136"/>
      <c r="B250" s="1137"/>
      <c r="C250" s="1136"/>
      <c r="D250" s="1138"/>
      <c r="E250" s="1139"/>
      <c r="F250" s="1188"/>
      <c r="H250" s="1140"/>
    </row>
    <row r="251" spans="1:9" s="196" customFormat="1" ht="21" customHeight="1">
      <c r="A251" s="1136"/>
      <c r="B251" s="1132" t="s">
        <v>1291</v>
      </c>
      <c r="C251" s="1110"/>
      <c r="D251" s="1131"/>
      <c r="E251" s="1130"/>
      <c r="F251" s="1190">
        <f>+F249+F247</f>
        <v>8224304028</v>
      </c>
      <c r="G251" s="1141"/>
      <c r="H251" s="9"/>
      <c r="I251" s="9"/>
    </row>
    <row r="252" spans="1:9" ht="15">
      <c r="A252" s="1"/>
      <c r="F252" s="651"/>
    </row>
    <row r="253" spans="1:9">
      <c r="A253" s="1"/>
      <c r="G253" s="9"/>
      <c r="H253" s="9"/>
    </row>
    <row r="254" spans="1:9">
      <c r="A254" s="1"/>
      <c r="B254" s="1219"/>
      <c r="C254" s="1219"/>
      <c r="D254" s="1219"/>
      <c r="E254" s="1219"/>
      <c r="F254" s="1219"/>
    </row>
    <row r="255" spans="1:9">
      <c r="A255" s="1"/>
      <c r="B255" s="1219"/>
      <c r="C255" s="1219"/>
      <c r="D255" s="1219"/>
      <c r="E255" s="1219"/>
      <c r="F255" s="1219"/>
    </row>
    <row r="256" spans="1:9">
      <c r="A256" s="1"/>
    </row>
    <row r="257" spans="1:1">
      <c r="A257" s="1"/>
    </row>
    <row r="258" spans="1:1">
      <c r="A258" s="1"/>
    </row>
    <row r="259" spans="1:1">
      <c r="A259" s="1"/>
    </row>
    <row r="260" spans="1:1">
      <c r="A260" s="1"/>
    </row>
    <row r="261" spans="1:1">
      <c r="A261" s="1"/>
    </row>
    <row r="262" spans="1:1">
      <c r="A262" s="1"/>
    </row>
    <row r="263" spans="1:1">
      <c r="A263" s="1"/>
    </row>
    <row r="264" spans="1:1">
      <c r="A264" s="1"/>
    </row>
    <row r="265" spans="1:1">
      <c r="A265" s="1"/>
    </row>
    <row r="266" spans="1:1">
      <c r="A266" s="1"/>
    </row>
    <row r="267" spans="1:1">
      <c r="A267" s="1"/>
    </row>
    <row r="268" spans="1:1">
      <c r="A268" s="1"/>
    </row>
    <row r="269" spans="1:1">
      <c r="A269" s="1"/>
    </row>
    <row r="270" spans="1:1">
      <c r="A270" s="1"/>
    </row>
    <row r="271" spans="1:1">
      <c r="A271" s="1"/>
    </row>
    <row r="272" spans="1:1">
      <c r="A272" s="1"/>
    </row>
    <row r="273" spans="1:1">
      <c r="A273" s="1"/>
    </row>
    <row r="274" spans="1:1">
      <c r="A274" s="1"/>
    </row>
    <row r="275" spans="1:1">
      <c r="A275" s="1"/>
    </row>
  </sheetData>
  <mergeCells count="17">
    <mergeCell ref="A10:B10"/>
    <mergeCell ref="C10:H10"/>
    <mergeCell ref="A2:H7"/>
    <mergeCell ref="A8:B8"/>
    <mergeCell ref="C8:H8"/>
    <mergeCell ref="A9:B9"/>
    <mergeCell ref="C9:H9"/>
    <mergeCell ref="B42:H42"/>
    <mergeCell ref="B254:F254"/>
    <mergeCell ref="B255:F255"/>
    <mergeCell ref="A15:H15"/>
    <mergeCell ref="A11:B11"/>
    <mergeCell ref="C11:H11"/>
    <mergeCell ref="A12:B12"/>
    <mergeCell ref="C12:H12"/>
    <mergeCell ref="A13:B13"/>
    <mergeCell ref="C13:H13"/>
  </mergeCells>
  <phoneticPr fontId="26" type="noConversion"/>
  <pageMargins left="0.70866141732283472" right="0.70866141732283472" top="0.98425196850393704" bottom="0.74803149606299213" header="0.31496062992125984" footer="0.31496062992125984"/>
  <pageSetup paperSize="9" scale="79" fitToHeight="0" orientation="portrait" r:id="rId1"/>
  <headerFooter>
    <oddHeader>&amp;L&amp;G&amp;C&amp;18PRESUPUESTO PARQUE COPACABANA&amp;R&amp;G</oddHeader>
  </headerFooter>
  <rowBreaks count="2" manualBreakCount="2">
    <brk id="69" max="7" man="1"/>
    <brk id="172" max="7" man="1"/>
  </rowBreaks>
  <ignoredErrors>
    <ignoredError sqref="F34 F162 F152 F176 F185 F112 F214 F36 F216" formula="1"/>
    <ignoredError sqref="A34 A36 A19:A22 A29:A32" numberStoredAsText="1"/>
  </ignoredError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7DDFB-64AC-4BF2-9FAE-DB2D5638941E}">
  <sheetPr>
    <tabColor theme="1"/>
  </sheetPr>
  <dimension ref="B3:H33"/>
  <sheetViews>
    <sheetView zoomScale="115" zoomScaleNormal="115" workbookViewId="0">
      <selection activeCell="H5" sqref="H5"/>
    </sheetView>
  </sheetViews>
  <sheetFormatPr baseColWidth="10" defaultColWidth="11.5703125" defaultRowHeight="16.5"/>
  <cols>
    <col min="1" max="2" width="11.5703125" style="570"/>
    <col min="3" max="3" width="32.28515625" style="570" customWidth="1"/>
    <col min="4" max="4" width="19.42578125" style="570" customWidth="1"/>
    <col min="5" max="5" width="15.85546875" style="570" customWidth="1"/>
    <col min="6" max="6" width="14.7109375" style="570" customWidth="1"/>
    <col min="7" max="7" width="11.5703125" style="570"/>
    <col min="8" max="8" width="15.140625" style="570" customWidth="1"/>
    <col min="9" max="16384" width="11.5703125" style="570"/>
  </cols>
  <sheetData>
    <row r="3" spans="2:8" ht="20.25">
      <c r="B3" s="1208" t="str">
        <f>+PRESUPUESTO!C8</f>
        <v>RENOVACIÓN DEL PARQUE PRINCIPAL DEL MUNICIPIO DE COPACABANA - ANTIOQUIA</v>
      </c>
      <c r="C3" s="1208"/>
      <c r="D3" s="1208"/>
      <c r="E3" s="1208"/>
      <c r="F3" s="1208"/>
      <c r="G3" s="1208"/>
      <c r="H3" s="1208"/>
    </row>
    <row r="4" spans="2:8" ht="27" customHeight="1">
      <c r="B4" s="1252" t="s">
        <v>213</v>
      </c>
      <c r="C4" s="1252"/>
      <c r="D4" s="1252"/>
      <c r="E4" s="1252"/>
      <c r="F4" s="1252"/>
      <c r="G4" s="1252"/>
      <c r="H4" s="1252"/>
    </row>
    <row r="5" spans="2:8" ht="16.899999999999999" customHeight="1">
      <c r="B5" s="1253" t="s">
        <v>736</v>
      </c>
      <c r="C5" s="1254"/>
      <c r="D5" s="1254"/>
      <c r="E5" s="1254"/>
      <c r="F5" s="1254"/>
      <c r="G5" s="1254"/>
      <c r="H5" s="614" t="s">
        <v>1294</v>
      </c>
    </row>
    <row r="6" spans="2:8" ht="16.899999999999999" customHeight="1">
      <c r="B6" s="1255" t="s">
        <v>734</v>
      </c>
      <c r="C6" s="1256"/>
      <c r="D6" s="1256"/>
      <c r="E6" s="1256"/>
      <c r="F6" s="1256"/>
      <c r="G6" s="1256"/>
      <c r="H6" s="640">
        <f>+INTERVENTORÍA!H29</f>
        <v>0</v>
      </c>
    </row>
    <row r="7" spans="2:8" ht="16.899999999999999" customHeight="1">
      <c r="B7" s="615" t="s">
        <v>737</v>
      </c>
      <c r="C7" s="616"/>
      <c r="D7" s="616"/>
      <c r="E7" s="616"/>
      <c r="F7" s="616"/>
      <c r="G7" s="616"/>
      <c r="H7" s="640">
        <f>H6*0.19</f>
        <v>0</v>
      </c>
    </row>
    <row r="8" spans="2:8" ht="16.899999999999999" customHeight="1">
      <c r="B8" s="1255" t="s">
        <v>738</v>
      </c>
      <c r="C8" s="1256"/>
      <c r="D8" s="1256"/>
      <c r="E8" s="1256"/>
      <c r="F8" s="1256"/>
      <c r="G8" s="1256"/>
      <c r="H8" s="640">
        <f>SUM(H6:H7)</f>
        <v>0</v>
      </c>
    </row>
    <row r="9" spans="2:8" ht="16.899999999999999" customHeight="1">
      <c r="B9" s="1255" t="s">
        <v>739</v>
      </c>
      <c r="C9" s="1256"/>
      <c r="D9" s="1256"/>
      <c r="E9" s="1256"/>
      <c r="F9" s="1256"/>
      <c r="G9" s="1256"/>
      <c r="H9" s="617">
        <f>H33</f>
        <v>2.0125280000000001</v>
      </c>
    </row>
    <row r="10" spans="2:8">
      <c r="B10" s="572"/>
      <c r="C10" s="1246"/>
      <c r="D10" s="1212"/>
      <c r="E10" s="1212"/>
      <c r="F10" s="1212"/>
      <c r="G10" s="1212"/>
      <c r="H10" s="572"/>
    </row>
    <row r="11" spans="2:8">
      <c r="B11" s="575"/>
      <c r="C11" s="1215" t="s">
        <v>735</v>
      </c>
      <c r="D11" s="1204"/>
      <c r="E11" s="1204"/>
      <c r="F11" s="1204"/>
      <c r="G11" s="1204"/>
      <c r="H11" s="572"/>
    </row>
    <row r="12" spans="2:8">
      <c r="B12" s="575"/>
      <c r="C12" s="619" t="s">
        <v>275</v>
      </c>
      <c r="D12" s="618" t="s">
        <v>740</v>
      </c>
      <c r="E12" s="618"/>
      <c r="F12" s="618"/>
      <c r="G12" s="618"/>
      <c r="H12" s="572"/>
    </row>
    <row r="13" spans="2:8">
      <c r="B13" s="620" t="s">
        <v>741</v>
      </c>
      <c r="C13" s="621" t="s">
        <v>742</v>
      </c>
      <c r="D13" s="622"/>
      <c r="E13" s="622"/>
      <c r="F13" s="622"/>
      <c r="G13" s="622"/>
      <c r="H13" s="623">
        <f>SUM(H14)</f>
        <v>1</v>
      </c>
    </row>
    <row r="14" spans="2:8">
      <c r="B14" s="575"/>
      <c r="C14" s="624" t="s">
        <v>743</v>
      </c>
      <c r="D14" s="625">
        <v>1</v>
      </c>
      <c r="E14" s="618"/>
      <c r="F14" s="618"/>
      <c r="G14" s="618"/>
      <c r="H14" s="626">
        <f>D14</f>
        <v>1</v>
      </c>
    </row>
    <row r="15" spans="2:8">
      <c r="B15" s="620" t="s">
        <v>744</v>
      </c>
      <c r="C15" s="621" t="s">
        <v>745</v>
      </c>
      <c r="D15" s="627"/>
      <c r="E15" s="622"/>
      <c r="F15" s="622"/>
      <c r="G15" s="622"/>
      <c r="H15" s="628">
        <f>SUM(D16:D28)</f>
        <v>0.61690000000000011</v>
      </c>
    </row>
    <row r="16" spans="2:8">
      <c r="B16" s="575"/>
      <c r="C16" s="601" t="s">
        <v>746</v>
      </c>
      <c r="D16" s="602">
        <v>8.3299999999999999E-2</v>
      </c>
      <c r="E16" s="618"/>
      <c r="F16" s="618"/>
      <c r="G16" s="618"/>
      <c r="H16" s="629"/>
    </row>
    <row r="17" spans="2:8">
      <c r="B17" s="575"/>
      <c r="C17" s="601" t="s">
        <v>747</v>
      </c>
      <c r="D17" s="602">
        <v>0.01</v>
      </c>
      <c r="E17" s="618"/>
      <c r="F17" s="618"/>
      <c r="G17" s="618"/>
      <c r="H17" s="629"/>
    </row>
    <row r="18" spans="2:8">
      <c r="B18" s="575"/>
      <c r="C18" s="601" t="s">
        <v>748</v>
      </c>
      <c r="D18" s="602">
        <v>8.3299999999999999E-2</v>
      </c>
      <c r="E18" s="618"/>
      <c r="F18" s="618"/>
      <c r="G18" s="618"/>
      <c r="H18" s="629"/>
    </row>
    <row r="19" spans="2:8">
      <c r="B19" s="575"/>
      <c r="C19" s="601" t="s">
        <v>749</v>
      </c>
      <c r="D19" s="602">
        <v>4.1700000000000001E-2</v>
      </c>
      <c r="E19" s="618"/>
      <c r="F19" s="618"/>
      <c r="G19" s="618"/>
      <c r="H19" s="629"/>
    </row>
    <row r="20" spans="2:8">
      <c r="B20" s="575"/>
      <c r="C20" s="603" t="s">
        <v>374</v>
      </c>
      <c r="D20" s="602"/>
      <c r="E20" s="618"/>
      <c r="F20" s="618"/>
      <c r="G20" s="618"/>
      <c r="H20" s="629"/>
    </row>
    <row r="21" spans="2:8">
      <c r="B21" s="575"/>
      <c r="C21" s="601" t="s">
        <v>750</v>
      </c>
      <c r="D21" s="664">
        <v>8.5000000000000006E-2</v>
      </c>
      <c r="E21" s="618"/>
      <c r="F21" s="618"/>
      <c r="G21" s="618"/>
      <c r="H21" s="629"/>
    </row>
    <row r="22" spans="2:8">
      <c r="B22" s="575"/>
      <c r="C22" s="601" t="s">
        <v>751</v>
      </c>
      <c r="D22" s="602">
        <v>0.12</v>
      </c>
      <c r="E22" s="618"/>
      <c r="F22" s="618"/>
      <c r="G22" s="618"/>
      <c r="H22" s="629"/>
    </row>
    <row r="23" spans="2:8">
      <c r="B23" s="575"/>
      <c r="C23" s="601" t="s">
        <v>752</v>
      </c>
      <c r="D23" s="602">
        <v>6.9599999999999995E-2</v>
      </c>
      <c r="E23" s="618"/>
      <c r="F23" s="618"/>
      <c r="G23" s="618"/>
      <c r="H23" s="629"/>
    </row>
    <row r="24" spans="2:8">
      <c r="B24" s="575"/>
      <c r="C24" s="603" t="s">
        <v>753</v>
      </c>
      <c r="D24" s="602"/>
      <c r="E24" s="618"/>
      <c r="F24" s="618"/>
      <c r="G24" s="618"/>
      <c r="H24" s="629"/>
    </row>
    <row r="25" spans="2:8">
      <c r="B25" s="575"/>
      <c r="C25" s="601" t="s">
        <v>754</v>
      </c>
      <c r="D25" s="641">
        <v>0.02</v>
      </c>
      <c r="E25" s="618"/>
      <c r="F25" s="618"/>
      <c r="G25" s="618"/>
      <c r="H25" s="629"/>
    </row>
    <row r="26" spans="2:8">
      <c r="B26" s="575"/>
      <c r="C26" s="601" t="s">
        <v>755</v>
      </c>
      <c r="D26" s="641">
        <v>0.03</v>
      </c>
      <c r="E26" s="618"/>
      <c r="F26" s="618"/>
      <c r="G26" s="618"/>
      <c r="H26" s="629"/>
    </row>
    <row r="27" spans="2:8">
      <c r="B27" s="630"/>
      <c r="C27" s="601" t="s">
        <v>756</v>
      </c>
      <c r="D27" s="602">
        <v>0.04</v>
      </c>
      <c r="E27" s="631"/>
      <c r="F27" s="632"/>
      <c r="G27" s="631"/>
      <c r="H27" s="629"/>
    </row>
    <row r="28" spans="2:8">
      <c r="B28" s="575"/>
      <c r="C28" s="665" t="s">
        <v>769</v>
      </c>
      <c r="D28" s="664">
        <f>0.018+0.016</f>
        <v>3.4000000000000002E-2</v>
      </c>
      <c r="E28" s="575"/>
      <c r="F28" s="575"/>
      <c r="G28" s="576"/>
      <c r="H28" s="629"/>
    </row>
    <row r="29" spans="2:8">
      <c r="B29" s="620" t="s">
        <v>757</v>
      </c>
      <c r="C29" s="1247" t="s">
        <v>1101</v>
      </c>
      <c r="D29" s="1248"/>
      <c r="E29" s="1249"/>
      <c r="F29" s="620"/>
      <c r="G29" s="633"/>
      <c r="H29" s="628">
        <v>0.18</v>
      </c>
    </row>
    <row r="30" spans="2:8">
      <c r="B30" s="620" t="s">
        <v>758</v>
      </c>
      <c r="C30" s="606" t="s">
        <v>759</v>
      </c>
      <c r="D30" s="607"/>
      <c r="E30" s="608"/>
      <c r="F30" s="609"/>
      <c r="G30" s="634"/>
      <c r="H30" s="628">
        <f>(H15+H13+H29)*D31</f>
        <v>0.21562800000000001</v>
      </c>
    </row>
    <row r="31" spans="2:8">
      <c r="B31" s="635"/>
      <c r="C31" s="601" t="s">
        <v>760</v>
      </c>
      <c r="D31" s="610">
        <v>0.12</v>
      </c>
      <c r="E31" s="611"/>
      <c r="F31" s="612"/>
      <c r="G31" s="577"/>
      <c r="H31" s="636"/>
    </row>
    <row r="32" spans="2:8">
      <c r="B32" s="635"/>
      <c r="C32" s="601"/>
      <c r="D32" s="605"/>
      <c r="E32" s="604"/>
      <c r="F32" s="613"/>
      <c r="G32" s="637"/>
      <c r="H32" s="638"/>
    </row>
    <row r="33" spans="2:8">
      <c r="B33" s="635"/>
      <c r="C33" s="1250" t="s">
        <v>761</v>
      </c>
      <c r="D33" s="1251"/>
      <c r="E33" s="1251"/>
      <c r="F33" s="1251"/>
      <c r="G33" s="1251"/>
      <c r="H33" s="639">
        <f>H13+H15+H29+H30</f>
        <v>2.0125280000000001</v>
      </c>
    </row>
  </sheetData>
  <mergeCells count="10">
    <mergeCell ref="C10:G10"/>
    <mergeCell ref="C11:G11"/>
    <mergeCell ref="C29:E29"/>
    <mergeCell ref="C33:G33"/>
    <mergeCell ref="B3:H3"/>
    <mergeCell ref="B4:H4"/>
    <mergeCell ref="B5:G5"/>
    <mergeCell ref="B6:G6"/>
    <mergeCell ref="B8:G8"/>
    <mergeCell ref="B9:G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79998168889431442"/>
  </sheetPr>
  <dimension ref="A1:AD56"/>
  <sheetViews>
    <sheetView view="pageBreakPreview" topLeftCell="S8" zoomScale="115" zoomScaleNormal="70" zoomScaleSheetLayoutView="115" workbookViewId="0">
      <selection activeCell="AC18" sqref="AC18"/>
    </sheetView>
  </sheetViews>
  <sheetFormatPr baseColWidth="10" defaultRowHeight="15"/>
  <cols>
    <col min="2" max="2" width="12.140625" bestFit="1" customWidth="1"/>
    <col min="5" max="5" width="31.28515625" customWidth="1"/>
    <col min="6" max="6" width="10" bestFit="1" customWidth="1"/>
    <col min="8" max="8" width="3.140625" customWidth="1"/>
    <col min="10" max="10" width="12.140625" bestFit="1" customWidth="1"/>
    <col min="14" max="14" width="9.42578125" customWidth="1"/>
    <col min="16" max="16" width="3.28515625" customWidth="1"/>
    <col min="18" max="18" width="42.140625" customWidth="1"/>
    <col min="19" max="19" width="10.42578125" customWidth="1"/>
    <col min="20" max="20" width="8.28515625" customWidth="1"/>
    <col min="21" max="21" width="5" customWidth="1"/>
    <col min="22" max="22" width="12.140625" customWidth="1"/>
    <col min="23" max="23" width="40.85546875" customWidth="1"/>
    <col min="24" max="24" width="10.28515625" customWidth="1"/>
    <col min="25" max="25" width="9" customWidth="1"/>
    <col min="26" max="26" width="5" customWidth="1"/>
    <col min="27" max="27" width="12.140625" customWidth="1"/>
    <col min="28" max="28" width="42.5703125" customWidth="1"/>
    <col min="29" max="29" width="10.28515625" customWidth="1"/>
    <col min="30" max="30" width="8.28515625" customWidth="1"/>
  </cols>
  <sheetData>
    <row r="1" spans="1:30" ht="26.25" customHeight="1" thickBot="1">
      <c r="A1" s="1290" t="s">
        <v>167</v>
      </c>
      <c r="B1" s="1291"/>
      <c r="C1" s="1291"/>
      <c r="D1" s="1291"/>
      <c r="E1" s="1291"/>
      <c r="F1" s="1291"/>
      <c r="G1" s="1291"/>
      <c r="H1" s="414"/>
      <c r="I1" s="1290" t="s">
        <v>167</v>
      </c>
      <c r="J1" s="1291"/>
      <c r="K1" s="1291"/>
      <c r="L1" s="1291"/>
      <c r="M1" s="1291"/>
      <c r="N1" s="1291"/>
      <c r="O1" s="1291"/>
      <c r="P1" s="414"/>
      <c r="Q1" s="1290" t="s">
        <v>167</v>
      </c>
      <c r="R1" s="1291"/>
      <c r="S1" s="1291"/>
      <c r="T1" s="1291"/>
      <c r="U1" s="414"/>
      <c r="V1" s="1290" t="s">
        <v>167</v>
      </c>
      <c r="W1" s="1291"/>
      <c r="X1" s="1291"/>
      <c r="Y1" s="1291"/>
      <c r="Z1" s="414"/>
      <c r="AA1" s="1290" t="s">
        <v>167</v>
      </c>
      <c r="AB1" s="1291"/>
      <c r="AC1" s="1291"/>
      <c r="AD1" s="1291"/>
    </row>
    <row r="2" spans="1:30" ht="26.25" customHeight="1" thickTop="1" thickBot="1">
      <c r="A2" s="104" t="s">
        <v>7</v>
      </c>
      <c r="B2" s="50" t="s">
        <v>10</v>
      </c>
      <c r="C2" s="51" t="s">
        <v>523</v>
      </c>
      <c r="D2" s="51" t="s">
        <v>522</v>
      </c>
      <c r="E2" s="51" t="s">
        <v>527</v>
      </c>
      <c r="F2" s="51" t="s">
        <v>524</v>
      </c>
      <c r="G2" s="195" t="s">
        <v>173</v>
      </c>
      <c r="H2" s="146"/>
      <c r="I2" s="104" t="s">
        <v>7</v>
      </c>
      <c r="J2" s="50" t="s">
        <v>8</v>
      </c>
      <c r="K2" s="51" t="s">
        <v>507</v>
      </c>
      <c r="L2" s="51" t="s">
        <v>172</v>
      </c>
      <c r="M2" s="51" t="s">
        <v>508</v>
      </c>
      <c r="N2" s="51" t="s">
        <v>507</v>
      </c>
      <c r="O2" s="195" t="s">
        <v>173</v>
      </c>
      <c r="P2" s="146"/>
      <c r="Q2" s="104" t="s">
        <v>7</v>
      </c>
      <c r="R2" s="193" t="s">
        <v>8</v>
      </c>
      <c r="S2" s="51" t="s">
        <v>172</v>
      </c>
      <c r="T2" s="195" t="s">
        <v>173</v>
      </c>
      <c r="V2" s="192" t="s">
        <v>7</v>
      </c>
      <c r="W2" s="193" t="s">
        <v>8</v>
      </c>
      <c r="X2" s="194" t="s">
        <v>172</v>
      </c>
      <c r="Y2" s="29" t="s">
        <v>173</v>
      </c>
      <c r="AA2" s="192" t="s">
        <v>7</v>
      </c>
      <c r="AB2" s="193" t="s">
        <v>8</v>
      </c>
      <c r="AC2" s="194" t="s">
        <v>172</v>
      </c>
      <c r="AD2" s="29" t="s">
        <v>173</v>
      </c>
    </row>
    <row r="3" spans="1:30" ht="15.75" thickBot="1">
      <c r="A3" s="147">
        <v>4</v>
      </c>
      <c r="B3" s="1265" t="s">
        <v>154</v>
      </c>
      <c r="C3" s="1266"/>
      <c r="D3" s="1266"/>
      <c r="E3" s="1266"/>
      <c r="F3" s="1266"/>
      <c r="G3" s="1271"/>
      <c r="I3" s="147">
        <v>4</v>
      </c>
      <c r="J3" s="1265" t="s">
        <v>501</v>
      </c>
      <c r="K3" s="1266"/>
      <c r="L3" s="1266"/>
      <c r="M3" s="1266"/>
      <c r="N3" s="1266"/>
      <c r="O3" s="1271"/>
      <c r="Q3" s="147">
        <v>6</v>
      </c>
      <c r="R3" s="1265" t="s">
        <v>38</v>
      </c>
      <c r="S3" s="1266"/>
      <c r="T3" s="1267"/>
      <c r="V3" s="154">
        <v>14</v>
      </c>
      <c r="W3" s="1265" t="s">
        <v>55</v>
      </c>
      <c r="X3" s="1266"/>
      <c r="Y3" s="1267"/>
      <c r="AA3" s="48">
        <v>16</v>
      </c>
      <c r="AB3" s="1259" t="s">
        <v>115</v>
      </c>
      <c r="AC3" s="1260"/>
      <c r="AD3" s="1261"/>
    </row>
    <row r="4" spans="1:30" ht="16.5" thickTop="1" thickBot="1">
      <c r="A4" s="285" t="s">
        <v>32</v>
      </c>
      <c r="B4" s="1323" t="s">
        <v>515</v>
      </c>
      <c r="C4" s="1324"/>
      <c r="D4" s="1324"/>
      <c r="E4" s="1324"/>
      <c r="F4" s="1324"/>
      <c r="G4" s="1325"/>
      <c r="I4" s="1323" t="s">
        <v>515</v>
      </c>
      <c r="J4" s="1324"/>
      <c r="K4" s="1324"/>
      <c r="L4" s="1324"/>
      <c r="M4" s="1324"/>
      <c r="N4" s="1324"/>
      <c r="O4" s="1325"/>
      <c r="Q4" s="37" t="s">
        <v>144</v>
      </c>
      <c r="R4" s="131" t="s">
        <v>193</v>
      </c>
      <c r="S4" s="155">
        <f>2.48*2.5*4+8.1*2.48*2+17*1.5*1.1+2.48*2.5*6+3.3*2.48*2+4.9*2.48-(0.95*0.87*17)</f>
        <v>144.69549999999998</v>
      </c>
      <c r="T4" s="166" t="s">
        <v>19</v>
      </c>
      <c r="V4" s="81" t="s">
        <v>56</v>
      </c>
      <c r="W4" s="1268" t="s">
        <v>57</v>
      </c>
      <c r="X4" s="1269"/>
      <c r="Y4" s="1270"/>
      <c r="AA4" s="81" t="s">
        <v>60</v>
      </c>
      <c r="AB4" s="66" t="s">
        <v>114</v>
      </c>
      <c r="AC4" s="95"/>
      <c r="AD4" s="174"/>
    </row>
    <row r="5" spans="1:30" ht="27.75" customHeight="1" thickTop="1" thickBot="1">
      <c r="A5" s="306" t="s">
        <v>516</v>
      </c>
      <c r="B5" s="307" t="s">
        <v>526</v>
      </c>
      <c r="C5" s="308"/>
      <c r="D5" s="307">
        <v>0.3</v>
      </c>
      <c r="E5" s="309">
        <v>4</v>
      </c>
      <c r="F5" s="310">
        <f>((PI()*(D5*D5))/4)*E5*B5</f>
        <v>15.833626974092558</v>
      </c>
      <c r="G5" s="311" t="s">
        <v>118</v>
      </c>
      <c r="I5" s="1288" t="s">
        <v>516</v>
      </c>
      <c r="J5" s="270" t="s">
        <v>517</v>
      </c>
      <c r="K5" s="276">
        <v>0.99399999999999999</v>
      </c>
      <c r="L5" s="273">
        <v>224</v>
      </c>
      <c r="M5" s="274">
        <v>4.5</v>
      </c>
      <c r="N5" s="278">
        <f>K5*L5*M5</f>
        <v>1001.952</v>
      </c>
      <c r="O5" s="1317" t="s">
        <v>37</v>
      </c>
      <c r="Q5" s="55" t="s">
        <v>145</v>
      </c>
      <c r="R5" s="142" t="s">
        <v>194</v>
      </c>
      <c r="S5" s="160">
        <f>2.48*2.5*4*2+2.48*2.5*4</f>
        <v>74.400000000000006</v>
      </c>
      <c r="T5" s="167" t="s">
        <v>19</v>
      </c>
      <c r="V5" s="37" t="s">
        <v>58</v>
      </c>
      <c r="W5" s="150" t="s">
        <v>168</v>
      </c>
      <c r="X5" s="149">
        <f>C52*0.4</f>
        <v>268.24</v>
      </c>
      <c r="Y5" s="171" t="s">
        <v>19</v>
      </c>
      <c r="AA5" s="39" t="s">
        <v>61</v>
      </c>
      <c r="AB5" s="141" t="s">
        <v>195</v>
      </c>
      <c r="AC5" s="149">
        <f>((1.5*2)+(2.3*2))*2.48*17-(0.95*0.87*17)-(1.37*1.5*17)</f>
        <v>271.43049999999999</v>
      </c>
      <c r="AD5" s="175" t="s">
        <v>19</v>
      </c>
    </row>
    <row r="6" spans="1:30" ht="15.75" thickBot="1">
      <c r="A6" s="296" t="s">
        <v>33</v>
      </c>
      <c r="B6" s="1326" t="s">
        <v>506</v>
      </c>
      <c r="C6" s="1327"/>
      <c r="D6" s="1327"/>
      <c r="E6" s="1327"/>
      <c r="F6" s="1327"/>
      <c r="G6" s="1328"/>
      <c r="I6" s="1300"/>
      <c r="J6" s="269" t="s">
        <v>503</v>
      </c>
      <c r="K6" s="280">
        <v>0.56000000000000005</v>
      </c>
      <c r="L6" s="281">
        <v>1456</v>
      </c>
      <c r="M6" s="282">
        <v>0.65</v>
      </c>
      <c r="N6" s="278">
        <f>K6*L6*M6</f>
        <v>529.98400000000015</v>
      </c>
      <c r="O6" s="1318"/>
      <c r="V6" s="37" t="s">
        <v>110</v>
      </c>
      <c r="W6" s="150" t="s">
        <v>169</v>
      </c>
      <c r="X6" s="149">
        <f>C52*0.52</f>
        <v>348.71200000000005</v>
      </c>
      <c r="Y6" s="171" t="s">
        <v>19</v>
      </c>
      <c r="AA6" s="79" t="s">
        <v>62</v>
      </c>
      <c r="AB6" s="80" t="s">
        <v>59</v>
      </c>
      <c r="AC6" s="99"/>
      <c r="AD6" s="101"/>
    </row>
    <row r="7" spans="1:30" ht="24" customHeight="1" thickTop="1" thickBot="1">
      <c r="A7" s="144" t="s">
        <v>509</v>
      </c>
      <c r="B7" s="301" t="s">
        <v>525</v>
      </c>
      <c r="C7" s="291">
        <v>0.35</v>
      </c>
      <c r="D7" s="292">
        <v>0.35</v>
      </c>
      <c r="E7" s="302">
        <v>10.7</v>
      </c>
      <c r="F7" s="287">
        <f t="shared" ref="F7:F12" si="0">B7*C7*D7*E7</f>
        <v>5.2429999999999986</v>
      </c>
      <c r="G7" s="303" t="s">
        <v>118</v>
      </c>
      <c r="I7" s="1326" t="s">
        <v>506</v>
      </c>
      <c r="J7" s="1327"/>
      <c r="K7" s="1327"/>
      <c r="L7" s="1327"/>
      <c r="M7" s="1327"/>
      <c r="N7" s="1327"/>
      <c r="O7" s="1328"/>
      <c r="Q7" s="295" t="s">
        <v>7</v>
      </c>
      <c r="R7" s="298" t="s">
        <v>8</v>
      </c>
      <c r="S7" s="299" t="s">
        <v>172</v>
      </c>
      <c r="T7" s="300" t="s">
        <v>173</v>
      </c>
      <c r="V7" s="1287" t="s">
        <v>111</v>
      </c>
      <c r="W7" s="1278" t="s">
        <v>170</v>
      </c>
      <c r="X7" s="151">
        <v>4.5</v>
      </c>
      <c r="Y7" s="1292" t="s">
        <v>19</v>
      </c>
      <c r="AA7" s="39" t="s">
        <v>63</v>
      </c>
      <c r="AB7" s="141" t="s">
        <v>196</v>
      </c>
      <c r="AC7" s="149">
        <f>((1.5*2)+(2.3*2))*2.48*17-(0.95*0.87*17)-(1.37*1.5*17)</f>
        <v>271.43049999999999</v>
      </c>
      <c r="AD7" s="175" t="s">
        <v>19</v>
      </c>
    </row>
    <row r="8" spans="1:30" ht="16.5" thickTop="1" thickBot="1">
      <c r="A8" s="261" t="s">
        <v>510</v>
      </c>
      <c r="B8" s="305">
        <v>4</v>
      </c>
      <c r="C8" s="277">
        <v>0.35</v>
      </c>
      <c r="D8" s="268">
        <v>0.35</v>
      </c>
      <c r="E8" s="272">
        <v>2.75</v>
      </c>
      <c r="F8" s="275">
        <f t="shared" si="0"/>
        <v>1.3474999999999999</v>
      </c>
      <c r="G8" s="304" t="s">
        <v>118</v>
      </c>
      <c r="I8" s="1288" t="s">
        <v>509</v>
      </c>
      <c r="J8" s="1311" t="s">
        <v>502</v>
      </c>
      <c r="K8" s="1314">
        <v>1.552</v>
      </c>
      <c r="L8" s="273">
        <v>8</v>
      </c>
      <c r="M8" s="274">
        <v>6</v>
      </c>
      <c r="N8" s="278">
        <f>$K$8*L8*M8</f>
        <v>74.496000000000009</v>
      </c>
      <c r="O8" s="1317" t="s">
        <v>37</v>
      </c>
      <c r="Q8" s="147">
        <v>11</v>
      </c>
      <c r="R8" s="1265" t="s">
        <v>53</v>
      </c>
      <c r="S8" s="1266"/>
      <c r="T8" s="1267"/>
      <c r="V8" s="1288"/>
      <c r="W8" s="1279"/>
      <c r="X8" s="151">
        <v>4.4000000000000004</v>
      </c>
      <c r="Y8" s="1292"/>
      <c r="AA8" s="39" t="s">
        <v>64</v>
      </c>
      <c r="AB8" s="140" t="s">
        <v>197</v>
      </c>
      <c r="AC8" s="149">
        <f>((1.5*2)+(2.3*2))*2.48*17-(0.95*0.87*17)-(1.37*1.5*17)</f>
        <v>271.43049999999999</v>
      </c>
      <c r="AD8" s="175" t="s">
        <v>19</v>
      </c>
    </row>
    <row r="9" spans="1:30" ht="29.25" customHeight="1" thickTop="1">
      <c r="A9" s="261" t="s">
        <v>511</v>
      </c>
      <c r="B9" s="305">
        <v>12</v>
      </c>
      <c r="C9" s="277">
        <v>0.35</v>
      </c>
      <c r="D9" s="268">
        <v>0.35</v>
      </c>
      <c r="E9" s="272">
        <v>2.75</v>
      </c>
      <c r="F9" s="275">
        <f t="shared" si="0"/>
        <v>4.0424999999999995</v>
      </c>
      <c r="G9" s="304" t="s">
        <v>118</v>
      </c>
      <c r="I9" s="1288"/>
      <c r="J9" s="1311"/>
      <c r="K9" s="1314"/>
      <c r="L9" s="268">
        <v>8</v>
      </c>
      <c r="M9" s="271">
        <v>4.2</v>
      </c>
      <c r="N9" s="278">
        <f>$K$8*L9*M9</f>
        <v>52.147200000000005</v>
      </c>
      <c r="O9" s="1317"/>
      <c r="Q9" s="79" t="s">
        <v>121</v>
      </c>
      <c r="R9" s="1284" t="s">
        <v>54</v>
      </c>
      <c r="S9" s="1285"/>
      <c r="T9" s="1286"/>
      <c r="V9" s="1288"/>
      <c r="W9" s="1279"/>
      <c r="X9" s="151">
        <f>5*2</f>
        <v>10</v>
      </c>
      <c r="Y9" s="1292"/>
      <c r="AA9" s="39" t="s">
        <v>65</v>
      </c>
      <c r="AB9" s="140" t="s">
        <v>198</v>
      </c>
      <c r="AC9" s="149">
        <f>2.48*0.1*22+8.1*0.1*2+3.3*0.1*2+4.9*0.1</f>
        <v>8.2259999999999991</v>
      </c>
      <c r="AD9" s="175" t="s">
        <v>19</v>
      </c>
    </row>
    <row r="10" spans="1:30" ht="27.75" customHeight="1" thickBot="1">
      <c r="A10" s="261" t="s">
        <v>512</v>
      </c>
      <c r="B10" s="305">
        <v>2</v>
      </c>
      <c r="C10" s="277">
        <v>0.35</v>
      </c>
      <c r="D10" s="268">
        <v>0.35</v>
      </c>
      <c r="E10" s="272">
        <v>18.5</v>
      </c>
      <c r="F10" s="275">
        <f t="shared" si="0"/>
        <v>4.5324999999999998</v>
      </c>
      <c r="G10" s="304" t="s">
        <v>118</v>
      </c>
      <c r="I10" s="1288"/>
      <c r="J10" s="1311"/>
      <c r="K10" s="1314"/>
      <c r="L10" s="268">
        <v>8</v>
      </c>
      <c r="M10" s="271">
        <v>6.4</v>
      </c>
      <c r="N10" s="278">
        <f>$K$8*L10*M10</f>
        <v>79.462400000000002</v>
      </c>
      <c r="O10" s="1317"/>
      <c r="Q10" s="157" t="s">
        <v>122</v>
      </c>
      <c r="R10" s="159" t="s">
        <v>186</v>
      </c>
      <c r="S10" s="155">
        <f>S15*22</f>
        <v>4800.6287999999995</v>
      </c>
      <c r="T10" s="166" t="s">
        <v>37</v>
      </c>
      <c r="V10" s="1288"/>
      <c r="W10" s="1279"/>
      <c r="X10" s="151">
        <f>5*2</f>
        <v>10</v>
      </c>
      <c r="Y10" s="1292"/>
      <c r="AA10" s="41" t="s">
        <v>66</v>
      </c>
      <c r="AB10" s="139" t="s">
        <v>199</v>
      </c>
      <c r="AC10" s="172"/>
      <c r="AD10" s="176" t="s">
        <v>28</v>
      </c>
    </row>
    <row r="11" spans="1:30" ht="26.25" thickBot="1">
      <c r="A11" s="261" t="s">
        <v>513</v>
      </c>
      <c r="B11" s="305">
        <v>2</v>
      </c>
      <c r="C11" s="277">
        <v>0.35</v>
      </c>
      <c r="D11" s="268">
        <v>0.35</v>
      </c>
      <c r="E11" s="272">
        <v>2.75</v>
      </c>
      <c r="F11" s="275">
        <f t="shared" si="0"/>
        <v>0.67374999999999996</v>
      </c>
      <c r="G11" s="304" t="s">
        <v>118</v>
      </c>
      <c r="I11" s="1288"/>
      <c r="J11" s="1312"/>
      <c r="K11" s="1315"/>
      <c r="L11" s="268">
        <v>8</v>
      </c>
      <c r="M11" s="271">
        <v>8</v>
      </c>
      <c r="N11" s="278">
        <f>$K$8*L11*M11</f>
        <v>99.328000000000003</v>
      </c>
      <c r="O11" s="1317"/>
      <c r="Q11" s="75" t="s">
        <v>123</v>
      </c>
      <c r="R11" s="127" t="s">
        <v>187</v>
      </c>
      <c r="S11" s="155">
        <f>S16*22</f>
        <v>2159.844949342983</v>
      </c>
      <c r="T11" s="168" t="s">
        <v>37</v>
      </c>
      <c r="V11" s="1288"/>
      <c r="W11" s="1279"/>
      <c r="X11" s="151">
        <f>5*2</f>
        <v>10</v>
      </c>
      <c r="Y11" s="1292"/>
    </row>
    <row r="12" spans="1:30" ht="39" thickBot="1">
      <c r="A12" s="55" t="s">
        <v>514</v>
      </c>
      <c r="B12" s="312">
        <v>10</v>
      </c>
      <c r="C12" s="280">
        <v>0.35</v>
      </c>
      <c r="D12" s="281">
        <v>0.35</v>
      </c>
      <c r="E12" s="282">
        <v>2.75</v>
      </c>
      <c r="F12" s="283">
        <f t="shared" si="0"/>
        <v>3.3687499999999995</v>
      </c>
      <c r="G12" s="313" t="s">
        <v>118</v>
      </c>
      <c r="I12" s="1300"/>
      <c r="J12" s="269" t="s">
        <v>503</v>
      </c>
      <c r="K12" s="280">
        <v>0.56000000000000005</v>
      </c>
      <c r="L12" s="281">
        <v>348</v>
      </c>
      <c r="M12" s="282">
        <v>1</v>
      </c>
      <c r="N12" s="283">
        <f>+K12*L12*M12</f>
        <v>194.88000000000002</v>
      </c>
      <c r="O12" s="1318"/>
      <c r="Q12" s="1301" t="s">
        <v>124</v>
      </c>
      <c r="R12" s="1304" t="s">
        <v>188</v>
      </c>
      <c r="S12" s="155">
        <f>12.1*5.13</f>
        <v>62.073</v>
      </c>
      <c r="T12" s="1307" t="s">
        <v>19</v>
      </c>
      <c r="V12" s="1288"/>
      <c r="W12" s="1279"/>
      <c r="X12" s="151">
        <f>5*2</f>
        <v>10</v>
      </c>
      <c r="Y12" s="1292"/>
      <c r="AA12" s="415" t="s">
        <v>7</v>
      </c>
      <c r="AB12" s="416" t="s">
        <v>8</v>
      </c>
      <c r="AC12" s="417" t="s">
        <v>172</v>
      </c>
      <c r="AD12" s="300" t="s">
        <v>173</v>
      </c>
    </row>
    <row r="13" spans="1:30" ht="15.75" thickBot="1">
      <c r="A13" s="1320" t="s">
        <v>23</v>
      </c>
      <c r="B13" s="1321"/>
      <c r="C13" s="1321"/>
      <c r="D13" s="1321"/>
      <c r="E13" s="1322"/>
      <c r="F13" s="316">
        <f>SUM(F7:F12)</f>
        <v>19.207999999999998</v>
      </c>
      <c r="G13" s="317" t="s">
        <v>118</v>
      </c>
      <c r="I13" s="1287" t="s">
        <v>510</v>
      </c>
      <c r="J13" s="284" t="s">
        <v>502</v>
      </c>
      <c r="K13" s="279">
        <v>1.552</v>
      </c>
      <c r="L13" s="268">
        <v>16</v>
      </c>
      <c r="M13" s="271">
        <v>3.65</v>
      </c>
      <c r="N13" s="278">
        <f t="shared" ref="N13:N27" si="1">K13*L13*M13</f>
        <v>90.636799999999994</v>
      </c>
      <c r="O13" s="1316" t="s">
        <v>37</v>
      </c>
      <c r="Q13" s="1302"/>
      <c r="R13" s="1305"/>
      <c r="S13" s="155">
        <f>12.1*5.13</f>
        <v>62.073</v>
      </c>
      <c r="T13" s="1308"/>
      <c r="V13" s="1288"/>
      <c r="W13" s="1279"/>
      <c r="X13" s="151">
        <v>4.5</v>
      </c>
      <c r="Y13" s="1292"/>
      <c r="AA13" s="147">
        <v>21</v>
      </c>
      <c r="AB13" s="410" t="s">
        <v>70</v>
      </c>
      <c r="AC13" s="411"/>
      <c r="AD13" s="412"/>
    </row>
    <row r="14" spans="1:30" ht="15.75" customHeight="1" thickBot="1">
      <c r="A14" s="296" t="s">
        <v>33</v>
      </c>
      <c r="B14" s="1326" t="s">
        <v>518</v>
      </c>
      <c r="C14" s="1327"/>
      <c r="D14" s="1327"/>
      <c r="E14" s="1327"/>
      <c r="F14" s="1327"/>
      <c r="G14" s="1328"/>
      <c r="I14" s="1300"/>
      <c r="J14" s="269" t="s">
        <v>503</v>
      </c>
      <c r="K14" s="280">
        <v>0.56000000000000005</v>
      </c>
      <c r="L14" s="281">
        <f>22*4</f>
        <v>88</v>
      </c>
      <c r="M14" s="282">
        <v>1</v>
      </c>
      <c r="N14" s="283">
        <f t="shared" si="1"/>
        <v>49.28</v>
      </c>
      <c r="O14" s="1318"/>
      <c r="Q14" s="1302"/>
      <c r="R14" s="1305"/>
      <c r="S14" s="155">
        <f>19.08*4.93</f>
        <v>94.064399999999992</v>
      </c>
      <c r="T14" s="1308"/>
      <c r="V14" s="1288"/>
      <c r="W14" s="1279"/>
      <c r="X14" s="151">
        <v>4.4000000000000004</v>
      </c>
      <c r="Y14" s="1292"/>
      <c r="AA14" s="111" t="s">
        <v>205</v>
      </c>
      <c r="AB14" s="138" t="s">
        <v>200</v>
      </c>
      <c r="AC14" s="149">
        <v>11</v>
      </c>
      <c r="AD14" s="178" t="s">
        <v>47</v>
      </c>
    </row>
    <row r="15" spans="1:30" ht="15.75" thickTop="1">
      <c r="A15" s="1319" t="s">
        <v>519</v>
      </c>
      <c r="B15" s="301"/>
      <c r="C15" s="291">
        <v>0.12</v>
      </c>
      <c r="D15" s="292">
        <v>0.2</v>
      </c>
      <c r="E15" s="302">
        <f>8.12*4</f>
        <v>32.479999999999997</v>
      </c>
      <c r="F15" s="287">
        <f>C15*D15*E15</f>
        <v>0.77951999999999999</v>
      </c>
      <c r="G15" s="303" t="s">
        <v>118</v>
      </c>
      <c r="I15" s="1287" t="s">
        <v>511</v>
      </c>
      <c r="J15" s="284" t="s">
        <v>502</v>
      </c>
      <c r="K15" s="279">
        <v>1.552</v>
      </c>
      <c r="L15" s="268">
        <v>48</v>
      </c>
      <c r="M15" s="271">
        <v>3.15</v>
      </c>
      <c r="N15" s="278">
        <f t="shared" si="1"/>
        <v>234.66240000000002</v>
      </c>
      <c r="O15" s="1316" t="s">
        <v>37</v>
      </c>
      <c r="Q15" s="1303"/>
      <c r="R15" s="1306"/>
      <c r="S15" s="156">
        <f>SUM(S12:S14)</f>
        <v>218.21039999999999</v>
      </c>
      <c r="T15" s="1309"/>
      <c r="V15" s="1289"/>
      <c r="W15" s="1280"/>
      <c r="X15" s="148">
        <f>SUM(X7:X14)*0.5</f>
        <v>28.9</v>
      </c>
      <c r="Y15" s="1292"/>
      <c r="AA15" s="111" t="s">
        <v>71</v>
      </c>
      <c r="AB15" s="137" t="s">
        <v>202</v>
      </c>
      <c r="AC15" s="149">
        <v>44</v>
      </c>
      <c r="AD15" s="179" t="s">
        <v>47</v>
      </c>
    </row>
    <row r="16" spans="1:30" ht="26.25" thickBot="1">
      <c r="A16" s="1288"/>
      <c r="B16" s="305"/>
      <c r="C16" s="277">
        <v>0.12</v>
      </c>
      <c r="D16" s="268">
        <v>0.2</v>
      </c>
      <c r="E16" s="272">
        <f>2.4*22</f>
        <v>52.8</v>
      </c>
      <c r="F16" s="278">
        <f>C16*D16*E16</f>
        <v>1.2671999999999999</v>
      </c>
      <c r="G16" s="304" t="s">
        <v>118</v>
      </c>
      <c r="I16" s="1300"/>
      <c r="J16" s="269" t="s">
        <v>503</v>
      </c>
      <c r="K16" s="280">
        <v>0.56000000000000005</v>
      </c>
      <c r="L16" s="281">
        <v>228</v>
      </c>
      <c r="M16" s="282">
        <v>1</v>
      </c>
      <c r="N16" s="283">
        <f t="shared" si="1"/>
        <v>127.68</v>
      </c>
      <c r="O16" s="1318"/>
      <c r="Q16" s="75" t="s">
        <v>125</v>
      </c>
      <c r="R16" s="127" t="s">
        <v>189</v>
      </c>
      <c r="S16" s="155">
        <f>((PI()*2.5*2.5)/4)*20</f>
        <v>98.174770424681043</v>
      </c>
      <c r="T16" s="168" t="s">
        <v>19</v>
      </c>
      <c r="V16" s="37" t="s">
        <v>112</v>
      </c>
      <c r="W16" s="150" t="s">
        <v>171</v>
      </c>
      <c r="X16" s="152">
        <f>(12*3)*0.35*0.39</f>
        <v>4.9139999999999997</v>
      </c>
      <c r="Y16" s="171" t="s">
        <v>19</v>
      </c>
      <c r="AA16" s="111" t="s">
        <v>206</v>
      </c>
      <c r="AB16" s="137" t="s">
        <v>203</v>
      </c>
      <c r="AC16" s="149">
        <v>88</v>
      </c>
      <c r="AD16" s="179" t="s">
        <v>47</v>
      </c>
    </row>
    <row r="17" spans="1:30" ht="24.75" customHeight="1" thickBot="1">
      <c r="A17" s="1300"/>
      <c r="B17" s="312"/>
      <c r="C17" s="280">
        <v>0.12</v>
      </c>
      <c r="D17" s="281">
        <v>0.2</v>
      </c>
      <c r="E17" s="282">
        <f>15.5*2</f>
        <v>31</v>
      </c>
      <c r="F17" s="288">
        <f>C17*D17*E17</f>
        <v>0.74399999999999999</v>
      </c>
      <c r="G17" s="313" t="s">
        <v>118</v>
      </c>
      <c r="I17" s="1287" t="s">
        <v>512</v>
      </c>
      <c r="J17" s="1310" t="s">
        <v>502</v>
      </c>
      <c r="K17" s="1313">
        <v>1.552</v>
      </c>
      <c r="L17" s="268">
        <v>4</v>
      </c>
      <c r="M17" s="271">
        <v>6</v>
      </c>
      <c r="N17" s="278">
        <f t="shared" ref="N17:N22" si="2">$K$17*L17*M17</f>
        <v>37.248000000000005</v>
      </c>
      <c r="O17" s="1316" t="s">
        <v>37</v>
      </c>
      <c r="Q17" s="75" t="s">
        <v>126</v>
      </c>
      <c r="R17" s="131" t="s">
        <v>190</v>
      </c>
      <c r="S17" s="155">
        <f>46.8*2+80.3-(20.3+12.2+20.4)</f>
        <v>120.99999999999997</v>
      </c>
      <c r="T17" s="169" t="s">
        <v>19</v>
      </c>
      <c r="V17" s="79" t="s">
        <v>176</v>
      </c>
      <c r="W17" s="1272" t="s">
        <v>116</v>
      </c>
      <c r="X17" s="1273"/>
      <c r="Y17" s="1274"/>
      <c r="AA17" s="114" t="s">
        <v>207</v>
      </c>
      <c r="AB17" s="177" t="s">
        <v>204</v>
      </c>
      <c r="AC17" s="180">
        <v>20</v>
      </c>
      <c r="AD17" s="8" t="s">
        <v>47</v>
      </c>
    </row>
    <row r="18" spans="1:30" ht="15" customHeight="1" thickBot="1">
      <c r="A18" s="1320" t="s">
        <v>23</v>
      </c>
      <c r="B18" s="1321"/>
      <c r="C18" s="1321"/>
      <c r="D18" s="1321"/>
      <c r="E18" s="1322"/>
      <c r="F18" s="316">
        <f>SUM(F15:F17)</f>
        <v>2.7907199999999994</v>
      </c>
      <c r="G18" s="317" t="s">
        <v>118</v>
      </c>
      <c r="I18" s="1288"/>
      <c r="J18" s="1311"/>
      <c r="K18" s="1314"/>
      <c r="L18" s="268">
        <v>4</v>
      </c>
      <c r="M18" s="271">
        <v>4.2</v>
      </c>
      <c r="N18" s="278">
        <f t="shared" si="2"/>
        <v>26.073600000000003</v>
      </c>
      <c r="O18" s="1317"/>
      <c r="Q18" s="79" t="s">
        <v>120</v>
      </c>
      <c r="R18" s="80" t="s">
        <v>119</v>
      </c>
      <c r="S18" s="83"/>
      <c r="T18" s="85"/>
      <c r="V18" s="37" t="s">
        <v>177</v>
      </c>
      <c r="W18" s="125" t="s">
        <v>192</v>
      </c>
      <c r="X18" s="149">
        <f>X27</f>
        <v>79.324999999999989</v>
      </c>
      <c r="Y18" s="171" t="s">
        <v>19</v>
      </c>
    </row>
    <row r="19" spans="1:30" ht="15.75" thickBot="1">
      <c r="A19" s="314"/>
      <c r="B19" s="315"/>
      <c r="C19" s="315"/>
      <c r="D19" s="315"/>
      <c r="E19" s="318"/>
      <c r="F19" s="319"/>
      <c r="G19" s="318"/>
      <c r="I19" s="1288"/>
      <c r="J19" s="1311"/>
      <c r="K19" s="1314"/>
      <c r="L19" s="268">
        <v>4</v>
      </c>
      <c r="M19" s="271">
        <v>8.3000000000000007</v>
      </c>
      <c r="N19" s="278">
        <f t="shared" si="2"/>
        <v>51.526400000000002</v>
      </c>
      <c r="O19" s="1317"/>
      <c r="Q19" s="55" t="s">
        <v>127</v>
      </c>
      <c r="R19" s="129" t="s">
        <v>191</v>
      </c>
      <c r="S19" s="158">
        <f>X27</f>
        <v>79.324999999999989</v>
      </c>
      <c r="T19" s="170" t="s">
        <v>19</v>
      </c>
      <c r="V19" s="37" t="s">
        <v>178</v>
      </c>
      <c r="W19" s="125" t="s">
        <v>184</v>
      </c>
      <c r="X19" s="151">
        <v>1203.7</v>
      </c>
      <c r="Y19" s="171" t="s">
        <v>19</v>
      </c>
    </row>
    <row r="20" spans="1:30">
      <c r="A20" s="104" t="s">
        <v>7</v>
      </c>
      <c r="B20" s="193" t="s">
        <v>8</v>
      </c>
      <c r="C20" s="51" t="s">
        <v>172</v>
      </c>
      <c r="D20" s="195" t="s">
        <v>173</v>
      </c>
      <c r="E20" s="318"/>
      <c r="F20" s="319"/>
      <c r="G20" s="318"/>
      <c r="I20" s="1288"/>
      <c r="J20" s="1311"/>
      <c r="K20" s="1314"/>
      <c r="L20" s="268">
        <v>4</v>
      </c>
      <c r="M20" s="271">
        <v>8</v>
      </c>
      <c r="N20" s="278">
        <f t="shared" si="2"/>
        <v>49.664000000000001</v>
      </c>
      <c r="O20" s="1317"/>
      <c r="V20" s="37" t="s">
        <v>179</v>
      </c>
      <c r="W20" s="125" t="s">
        <v>185</v>
      </c>
      <c r="X20" s="151">
        <v>1410</v>
      </c>
      <c r="Y20" s="171" t="s">
        <v>19</v>
      </c>
      <c r="AA20" s="295" t="s">
        <v>7</v>
      </c>
      <c r="AB20" s="416" t="s">
        <v>8</v>
      </c>
      <c r="AC20" s="417" t="s">
        <v>172</v>
      </c>
      <c r="AD20" s="300" t="s">
        <v>173</v>
      </c>
    </row>
    <row r="21" spans="1:30" ht="15.75" thickBot="1">
      <c r="A21" s="26" t="s">
        <v>29</v>
      </c>
      <c r="B21" s="1334" t="s">
        <v>30</v>
      </c>
      <c r="C21" s="1335"/>
      <c r="D21" s="143"/>
      <c r="E21" s="318"/>
      <c r="F21" s="319"/>
      <c r="G21" s="318"/>
      <c r="I21" s="1288"/>
      <c r="J21" s="1311"/>
      <c r="K21" s="1314"/>
      <c r="L21" s="268">
        <v>4</v>
      </c>
      <c r="M21" s="271">
        <v>6.5</v>
      </c>
      <c r="N21" s="278">
        <f t="shared" si="2"/>
        <v>40.352000000000004</v>
      </c>
      <c r="O21" s="1317"/>
      <c r="V21" s="37" t="s">
        <v>180</v>
      </c>
      <c r="W21" s="125" t="s">
        <v>350</v>
      </c>
      <c r="X21" s="149">
        <f>(X19+X20)/(1.5*1.5)*(1.5*4)</f>
        <v>6969.8666666666668</v>
      </c>
      <c r="Y21" s="171" t="s">
        <v>28</v>
      </c>
      <c r="AA21" s="147">
        <v>23</v>
      </c>
      <c r="AB21" s="1265" t="s">
        <v>73</v>
      </c>
      <c r="AC21" s="1266"/>
      <c r="AD21" s="1267"/>
    </row>
    <row r="22" spans="1:30" ht="26.25" thickTop="1">
      <c r="A22" s="1287" t="s">
        <v>155</v>
      </c>
      <c r="B22" s="1278" t="s">
        <v>159</v>
      </c>
      <c r="C22" s="151">
        <f>10*2*0.5</f>
        <v>10</v>
      </c>
      <c r="D22" s="1293" t="s">
        <v>19</v>
      </c>
      <c r="E22" s="145"/>
      <c r="F22" s="145"/>
      <c r="G22" s="145"/>
      <c r="I22" s="1288"/>
      <c r="J22" s="1312"/>
      <c r="K22" s="1315"/>
      <c r="L22" s="268">
        <v>4</v>
      </c>
      <c r="M22" s="271">
        <v>8.35</v>
      </c>
      <c r="N22" s="278">
        <f t="shared" si="2"/>
        <v>51.836799999999997</v>
      </c>
      <c r="O22" s="1317"/>
      <c r="R22" s="323"/>
      <c r="V22" s="37" t="s">
        <v>181</v>
      </c>
      <c r="W22" s="125" t="s">
        <v>569</v>
      </c>
      <c r="X22" s="151">
        <f>36+12.1+8.4+12.6+10.7+10+2+10.4+8.8+9.5+26.1+30.2+6+3.8+31.6+7.6+57.8+3.9+31.5+40.7+81.5</f>
        <v>441.19999999999993</v>
      </c>
      <c r="Y22" s="171" t="s">
        <v>28</v>
      </c>
      <c r="AA22" s="104" t="s">
        <v>131</v>
      </c>
      <c r="AB22" s="1262" t="s">
        <v>74</v>
      </c>
      <c r="AC22" s="1263"/>
      <c r="AD22" s="1264"/>
    </row>
    <row r="23" spans="1:30" ht="26.25" thickBot="1">
      <c r="A23" s="1288"/>
      <c r="B23" s="1279"/>
      <c r="C23" s="151">
        <f>10*2*0.67</f>
        <v>13.4</v>
      </c>
      <c r="D23" s="1293"/>
      <c r="E23" s="145"/>
      <c r="F23" s="145"/>
      <c r="G23" s="145"/>
      <c r="H23" s="145"/>
      <c r="I23" s="1300"/>
      <c r="J23" s="269" t="s">
        <v>503</v>
      </c>
      <c r="K23" s="280">
        <v>0.56000000000000005</v>
      </c>
      <c r="L23" s="281">
        <v>312</v>
      </c>
      <c r="M23" s="282">
        <v>1</v>
      </c>
      <c r="N23" s="283">
        <f t="shared" si="1"/>
        <v>174.72000000000003</v>
      </c>
      <c r="O23" s="1318"/>
      <c r="P23" s="145"/>
      <c r="V23" s="37" t="s">
        <v>182</v>
      </c>
      <c r="W23" s="125" t="s">
        <v>570</v>
      </c>
      <c r="X23" s="151">
        <f>(1.2*3+4+44.4+81+40.8+5.5+6)*2</f>
        <v>370.6</v>
      </c>
      <c r="Y23" s="171" t="s">
        <v>28</v>
      </c>
      <c r="AA23" s="111" t="s">
        <v>72</v>
      </c>
      <c r="AB23" s="138" t="s">
        <v>208</v>
      </c>
      <c r="AC23" s="163">
        <f>1.37*1.5*17</f>
        <v>34.935000000000002</v>
      </c>
      <c r="AD23" s="178" t="s">
        <v>47</v>
      </c>
    </row>
    <row r="24" spans="1:30">
      <c r="A24" s="1288"/>
      <c r="B24" s="1279"/>
      <c r="C24" s="151">
        <f>((5+1)*2*0.9)*4</f>
        <v>43.2</v>
      </c>
      <c r="D24" s="1293"/>
      <c r="E24" s="145"/>
      <c r="F24" s="145"/>
      <c r="G24" s="145"/>
      <c r="H24" s="145"/>
      <c r="I24" s="1287" t="s">
        <v>513</v>
      </c>
      <c r="J24" s="284" t="s">
        <v>502</v>
      </c>
      <c r="K24" s="279">
        <v>1.552</v>
      </c>
      <c r="L24" s="268">
        <v>8</v>
      </c>
      <c r="M24" s="271">
        <v>3.65</v>
      </c>
      <c r="N24" s="278">
        <f t="shared" si="1"/>
        <v>45.318399999999997</v>
      </c>
      <c r="O24" s="1316" t="s">
        <v>37</v>
      </c>
      <c r="P24" s="145"/>
      <c r="V24" s="1287" t="s">
        <v>183</v>
      </c>
      <c r="W24" s="1281" t="s">
        <v>348</v>
      </c>
      <c r="X24" s="149">
        <f>8.1*2.5</f>
        <v>20.25</v>
      </c>
      <c r="Y24" s="1275" t="s">
        <v>19</v>
      </c>
      <c r="AA24" s="104" t="s">
        <v>132</v>
      </c>
      <c r="AB24" s="118" t="s">
        <v>133</v>
      </c>
      <c r="AC24" s="162"/>
      <c r="AD24" s="183"/>
    </row>
    <row r="25" spans="1:30" ht="26.25" thickBot="1">
      <c r="A25" s="1289"/>
      <c r="B25" s="1280"/>
      <c r="C25" s="148">
        <f>SUM(C22:C24)</f>
        <v>66.599999999999994</v>
      </c>
      <c r="D25" s="1293"/>
      <c r="E25" s="145"/>
      <c r="F25" s="145"/>
      <c r="G25" s="145"/>
      <c r="H25" s="145"/>
      <c r="I25" s="1300"/>
      <c r="J25" s="269" t="s">
        <v>503</v>
      </c>
      <c r="K25" s="280">
        <v>0.56000000000000005</v>
      </c>
      <c r="L25" s="281">
        <v>44</v>
      </c>
      <c r="M25" s="282">
        <v>1</v>
      </c>
      <c r="N25" s="283">
        <f t="shared" si="1"/>
        <v>24.64</v>
      </c>
      <c r="O25" s="1318"/>
      <c r="P25" s="145"/>
      <c r="V25" s="1288"/>
      <c r="W25" s="1282"/>
      <c r="X25" s="149">
        <f>8.1*2.5</f>
        <v>20.25</v>
      </c>
      <c r="Y25" s="1276"/>
      <c r="AA25" s="121" t="s">
        <v>75</v>
      </c>
      <c r="AB25" s="134" t="s">
        <v>209</v>
      </c>
      <c r="AC25" s="163">
        <v>17</v>
      </c>
      <c r="AD25" s="184" t="s">
        <v>47</v>
      </c>
    </row>
    <row r="26" spans="1:30" ht="37.5" customHeight="1">
      <c r="A26" s="37" t="s">
        <v>156</v>
      </c>
      <c r="B26" s="150" t="s">
        <v>175</v>
      </c>
      <c r="C26" s="152">
        <f>X16</f>
        <v>4.9139999999999997</v>
      </c>
      <c r="D26" s="413" t="s">
        <v>19</v>
      </c>
      <c r="E26" s="145"/>
      <c r="F26" s="145"/>
      <c r="G26" s="145"/>
      <c r="H26" s="145"/>
      <c r="I26" s="1287" t="s">
        <v>514</v>
      </c>
      <c r="J26" s="284" t="s">
        <v>502</v>
      </c>
      <c r="K26" s="279">
        <v>1.552</v>
      </c>
      <c r="L26" s="268">
        <v>40</v>
      </c>
      <c r="M26" s="271">
        <v>3.15</v>
      </c>
      <c r="N26" s="278">
        <f t="shared" si="1"/>
        <v>195.55199999999999</v>
      </c>
      <c r="O26" s="1316" t="s">
        <v>37</v>
      </c>
      <c r="P26" s="145"/>
      <c r="V26" s="1288"/>
      <c r="W26" s="1282"/>
      <c r="X26" s="149">
        <f>15.53*2.5</f>
        <v>38.824999999999996</v>
      </c>
      <c r="Y26" s="1276"/>
      <c r="AA26" s="104" t="s">
        <v>137</v>
      </c>
      <c r="AB26" s="122" t="s">
        <v>134</v>
      </c>
      <c r="AC26" s="161"/>
      <c r="AD26" s="101"/>
    </row>
    <row r="27" spans="1:30" ht="21.75" customHeight="1" thickBot="1">
      <c r="A27" s="1287" t="s">
        <v>174</v>
      </c>
      <c r="B27" s="1297" t="s">
        <v>160</v>
      </c>
      <c r="C27" s="151">
        <v>45.2</v>
      </c>
      <c r="D27" s="1294" t="s">
        <v>28</v>
      </c>
      <c r="E27" s="145"/>
      <c r="F27" s="145"/>
      <c r="G27" s="145"/>
      <c r="H27" s="145"/>
      <c r="I27" s="1300"/>
      <c r="J27" s="269" t="s">
        <v>503</v>
      </c>
      <c r="K27" s="280">
        <v>0.56000000000000005</v>
      </c>
      <c r="L27" s="281">
        <v>190</v>
      </c>
      <c r="M27" s="282">
        <v>1</v>
      </c>
      <c r="N27" s="278">
        <f t="shared" si="1"/>
        <v>106.4</v>
      </c>
      <c r="O27" s="1318"/>
      <c r="P27" s="145"/>
      <c r="V27" s="1289"/>
      <c r="W27" s="1283"/>
      <c r="X27" s="153">
        <f>SUM(X24:X26)</f>
        <v>79.324999999999989</v>
      </c>
      <c r="Y27" s="1277"/>
      <c r="AA27" s="121" t="s">
        <v>75</v>
      </c>
      <c r="AB27" s="134" t="s">
        <v>210</v>
      </c>
      <c r="AC27" s="163">
        <v>17</v>
      </c>
      <c r="AD27" s="184" t="s">
        <v>47</v>
      </c>
    </row>
    <row r="28" spans="1:30" ht="15.75" thickBot="1">
      <c r="A28" s="1288"/>
      <c r="B28" s="1298"/>
      <c r="C28" s="151">
        <v>40.1</v>
      </c>
      <c r="D28" s="1295"/>
      <c r="E28" s="145"/>
      <c r="F28" s="145"/>
      <c r="G28" s="145"/>
      <c r="H28" s="145"/>
      <c r="I28" s="1326" t="s">
        <v>518</v>
      </c>
      <c r="J28" s="1327"/>
      <c r="K28" s="1327"/>
      <c r="L28" s="1327"/>
      <c r="M28" s="1327"/>
      <c r="N28" s="1327"/>
      <c r="O28" s="1328"/>
      <c r="P28" s="145"/>
      <c r="V28" s="55" t="s">
        <v>347</v>
      </c>
      <c r="W28" s="126" t="s">
        <v>349</v>
      </c>
      <c r="X28" s="172">
        <f>34*2.5+17*1.5+0.64*17</f>
        <v>121.38</v>
      </c>
      <c r="Y28" s="173" t="s">
        <v>28</v>
      </c>
      <c r="AA28" s="55" t="s">
        <v>138</v>
      </c>
      <c r="AB28" s="182" t="s">
        <v>211</v>
      </c>
      <c r="AC28" s="164">
        <v>17</v>
      </c>
      <c r="AD28" s="185" t="s">
        <v>47</v>
      </c>
    </row>
    <row r="29" spans="1:30" ht="15.75" thickTop="1">
      <c r="A29" s="1288"/>
      <c r="B29" s="1298"/>
      <c r="C29" s="151">
        <v>19.7</v>
      </c>
      <c r="D29" s="1295"/>
      <c r="E29" s="145"/>
      <c r="F29" s="145"/>
      <c r="G29" s="145"/>
      <c r="H29" s="145"/>
      <c r="I29" s="1319" t="s">
        <v>519</v>
      </c>
      <c r="J29" s="1329" t="s">
        <v>503</v>
      </c>
      <c r="K29" s="1331">
        <v>0.56000000000000005</v>
      </c>
      <c r="L29" s="292">
        <v>4</v>
      </c>
      <c r="M29" s="297">
        <v>8</v>
      </c>
      <c r="N29" s="287">
        <f>$K$29*L29*M29</f>
        <v>17.920000000000002</v>
      </c>
      <c r="O29" s="1333" t="s">
        <v>37</v>
      </c>
      <c r="P29" s="145"/>
    </row>
    <row r="30" spans="1:30">
      <c r="A30" s="1288"/>
      <c r="B30" s="1298"/>
      <c r="C30" s="151">
        <v>40</v>
      </c>
      <c r="D30" s="1295"/>
      <c r="E30" s="145"/>
      <c r="F30" s="145"/>
      <c r="G30" s="145"/>
      <c r="H30" s="145"/>
      <c r="I30" s="1288"/>
      <c r="J30" s="1311"/>
      <c r="K30" s="1314"/>
      <c r="L30" s="268">
        <v>80</v>
      </c>
      <c r="M30" s="271">
        <v>0.32</v>
      </c>
      <c r="N30" s="278">
        <f t="shared" ref="N30:N36" si="3">$K$29*L30*M30</f>
        <v>14.336000000000002</v>
      </c>
      <c r="O30" s="1317"/>
      <c r="P30" s="145"/>
    </row>
    <row r="31" spans="1:30">
      <c r="A31" s="1288"/>
      <c r="B31" s="1298"/>
      <c r="C31" s="151">
        <v>38.200000000000003</v>
      </c>
      <c r="D31" s="1295"/>
      <c r="E31" s="145"/>
      <c r="F31" s="145"/>
      <c r="G31" s="145"/>
      <c r="H31" s="145"/>
      <c r="I31" s="1288"/>
      <c r="J31" s="1311"/>
      <c r="K31" s="1314"/>
      <c r="L31" s="268">
        <v>28</v>
      </c>
      <c r="M31" s="271">
        <v>2.4</v>
      </c>
      <c r="N31" s="278">
        <f t="shared" si="3"/>
        <v>37.632000000000005</v>
      </c>
      <c r="O31" s="1317"/>
      <c r="P31" s="145"/>
    </row>
    <row r="32" spans="1:30">
      <c r="A32" s="1288"/>
      <c r="B32" s="1298"/>
      <c r="C32" s="151">
        <v>21.9</v>
      </c>
      <c r="D32" s="1295"/>
      <c r="E32" s="145"/>
      <c r="F32" s="145"/>
      <c r="G32" s="145"/>
      <c r="H32" s="145"/>
      <c r="I32" s="1288"/>
      <c r="J32" s="1311"/>
      <c r="K32" s="1314"/>
      <c r="L32" s="268">
        <v>224</v>
      </c>
      <c r="M32" s="271">
        <v>0.32</v>
      </c>
      <c r="N32" s="278">
        <f t="shared" si="3"/>
        <v>40.140800000000006</v>
      </c>
      <c r="O32" s="1317"/>
      <c r="P32" s="145"/>
    </row>
    <row r="33" spans="1:16">
      <c r="A33" s="1288"/>
      <c r="B33" s="1298"/>
      <c r="C33" s="151">
        <v>20.3</v>
      </c>
      <c r="D33" s="1295"/>
      <c r="E33" s="145"/>
      <c r="F33" s="145"/>
      <c r="G33" s="145"/>
      <c r="H33" s="145"/>
      <c r="I33" s="1288"/>
      <c r="J33" s="1311"/>
      <c r="K33" s="1314"/>
      <c r="L33" s="286">
        <v>16</v>
      </c>
      <c r="M33" s="271">
        <v>2.4</v>
      </c>
      <c r="N33" s="278">
        <f t="shared" si="3"/>
        <v>21.504000000000001</v>
      </c>
      <c r="O33" s="1317"/>
      <c r="P33" s="145"/>
    </row>
    <row r="34" spans="1:16">
      <c r="A34" s="1288"/>
      <c r="B34" s="1298"/>
      <c r="C34" s="151">
        <v>18.100000000000001</v>
      </c>
      <c r="D34" s="1295"/>
      <c r="E34" s="145"/>
      <c r="F34" s="145"/>
      <c r="G34" s="145"/>
      <c r="H34" s="146"/>
      <c r="I34" s="1288"/>
      <c r="J34" s="1311"/>
      <c r="K34" s="1314"/>
      <c r="L34" s="286">
        <v>128</v>
      </c>
      <c r="M34" s="271">
        <v>0.32</v>
      </c>
      <c r="N34" s="278">
        <f t="shared" si="3"/>
        <v>22.937600000000003</v>
      </c>
      <c r="O34" s="1317"/>
      <c r="P34" s="146"/>
    </row>
    <row r="35" spans="1:16">
      <c r="A35" s="1288"/>
      <c r="B35" s="1298"/>
      <c r="C35" s="151">
        <v>31.3</v>
      </c>
      <c r="D35" s="1295"/>
      <c r="E35" s="145"/>
      <c r="F35" s="145"/>
      <c r="G35" s="145"/>
      <c r="I35" s="1288"/>
      <c r="J35" s="1311"/>
      <c r="K35" s="1314"/>
      <c r="L35" s="286">
        <v>8</v>
      </c>
      <c r="M35" s="271">
        <v>6</v>
      </c>
      <c r="N35" s="278">
        <f t="shared" si="3"/>
        <v>26.880000000000003</v>
      </c>
      <c r="O35" s="1317"/>
    </row>
    <row r="36" spans="1:16" ht="15.75" thickBot="1">
      <c r="A36" s="1288"/>
      <c r="B36" s="1298"/>
      <c r="C36" s="151">
        <v>20.3</v>
      </c>
      <c r="D36" s="1295"/>
      <c r="E36" s="145"/>
      <c r="F36" s="145"/>
      <c r="G36" s="145"/>
      <c r="I36" s="1300"/>
      <c r="J36" s="1330"/>
      <c r="K36" s="1332"/>
      <c r="L36" s="281">
        <v>142</v>
      </c>
      <c r="M36" s="282">
        <v>0.32</v>
      </c>
      <c r="N36" s="288">
        <f t="shared" si="3"/>
        <v>25.446400000000004</v>
      </c>
      <c r="O36" s="1318"/>
    </row>
    <row r="37" spans="1:16" ht="15.75" thickBot="1">
      <c r="A37" s="1288"/>
      <c r="B37" s="1298"/>
      <c r="C37" s="151">
        <v>37.700000000000003</v>
      </c>
      <c r="D37" s="1295"/>
      <c r="E37" s="145"/>
      <c r="F37" s="145"/>
      <c r="G37" s="145"/>
      <c r="I37" s="1336" t="s">
        <v>520</v>
      </c>
      <c r="J37" s="1337"/>
      <c r="K37" s="1337"/>
      <c r="L37" s="1337"/>
      <c r="M37" s="1337"/>
      <c r="N37" s="1337"/>
      <c r="O37" s="1338"/>
    </row>
    <row r="38" spans="1:16" ht="15.75" thickTop="1">
      <c r="A38" s="1288"/>
      <c r="B38" s="1298"/>
      <c r="C38" s="151">
        <v>40.1</v>
      </c>
      <c r="D38" s="1295"/>
      <c r="E38" s="145"/>
      <c r="F38" s="145"/>
      <c r="G38" s="145"/>
      <c r="I38" s="1288" t="s">
        <v>521</v>
      </c>
      <c r="J38" s="290" t="s">
        <v>505</v>
      </c>
      <c r="K38" s="291">
        <v>0.25</v>
      </c>
      <c r="L38" s="292">
        <v>60</v>
      </c>
      <c r="M38" s="293">
        <v>6</v>
      </c>
      <c r="N38" s="287">
        <f>$K$38*L38*M38</f>
        <v>90</v>
      </c>
      <c r="O38" s="1317" t="s">
        <v>37</v>
      </c>
    </row>
    <row r="39" spans="1:16">
      <c r="A39" s="1288"/>
      <c r="B39" s="1298"/>
      <c r="C39" s="151">
        <v>13.4</v>
      </c>
      <c r="D39" s="1295"/>
      <c r="E39" s="145"/>
      <c r="F39" s="145"/>
      <c r="G39" s="145"/>
      <c r="I39" s="1288"/>
      <c r="J39" s="294" t="s">
        <v>504</v>
      </c>
      <c r="K39" s="276">
        <v>0.248</v>
      </c>
      <c r="L39" s="289">
        <v>110</v>
      </c>
      <c r="M39" s="274">
        <v>0.4</v>
      </c>
      <c r="N39" s="278">
        <f>$K$39*L39*M39</f>
        <v>10.912000000000001</v>
      </c>
      <c r="O39" s="1317"/>
    </row>
    <row r="40" spans="1:16" ht="15.75" thickBot="1">
      <c r="A40" s="1288"/>
      <c r="B40" s="1298"/>
      <c r="C40" s="151">
        <v>15</v>
      </c>
      <c r="D40" s="1295"/>
      <c r="E40" s="145"/>
      <c r="F40" s="145"/>
      <c r="G40" s="145"/>
      <c r="I40" s="1300"/>
      <c r="J40" s="269" t="s">
        <v>503</v>
      </c>
      <c r="K40" s="280">
        <v>0.56000000000000005</v>
      </c>
      <c r="L40" s="281">
        <v>139</v>
      </c>
      <c r="M40" s="282">
        <v>2.7</v>
      </c>
      <c r="N40" s="288">
        <f>$K$40*L40*M40</f>
        <v>210.16800000000003</v>
      </c>
      <c r="O40" s="1318"/>
    </row>
    <row r="41" spans="1:16" ht="15.75" thickBot="1">
      <c r="A41" s="1288"/>
      <c r="B41" s="1298"/>
      <c r="C41" s="151">
        <v>38.200000000000003</v>
      </c>
      <c r="D41" s="1295"/>
      <c r="E41" s="145"/>
      <c r="F41" s="145"/>
      <c r="G41" s="145"/>
      <c r="I41" s="1320" t="s">
        <v>23</v>
      </c>
      <c r="J41" s="1321"/>
      <c r="K41" s="1321"/>
      <c r="L41" s="1321"/>
      <c r="M41" s="1322"/>
      <c r="N41" s="316">
        <f>SUM(N5:N40)</f>
        <v>3855.7168000000015</v>
      </c>
      <c r="O41" s="317" t="s">
        <v>37</v>
      </c>
    </row>
    <row r="42" spans="1:16" ht="15.75" thickBot="1">
      <c r="A42" s="1288"/>
      <c r="B42" s="1298"/>
      <c r="C42" s="151">
        <v>41.5</v>
      </c>
      <c r="D42" s="1295"/>
      <c r="E42" s="145"/>
      <c r="F42" s="145"/>
      <c r="G42" s="145"/>
      <c r="I42" s="1336" t="s">
        <v>520</v>
      </c>
      <c r="J42" s="1337"/>
      <c r="K42" s="1337"/>
      <c r="L42" s="1337"/>
      <c r="M42" s="1337"/>
      <c r="N42" s="1337"/>
      <c r="O42" s="1338"/>
    </row>
    <row r="43" spans="1:16" ht="15.75" thickTop="1">
      <c r="A43" s="1288"/>
      <c r="B43" s="1298"/>
      <c r="C43" s="151">
        <v>16.8</v>
      </c>
      <c r="D43" s="1295"/>
      <c r="E43" s="145"/>
      <c r="F43" s="145"/>
      <c r="G43" s="145"/>
      <c r="I43" s="1288" t="s">
        <v>521</v>
      </c>
      <c r="J43" s="290" t="s">
        <v>505</v>
      </c>
      <c r="K43" s="291">
        <v>0.25</v>
      </c>
      <c r="L43" s="292">
        <v>60</v>
      </c>
      <c r="M43" s="293">
        <v>6</v>
      </c>
      <c r="N43" s="287">
        <f>$K$43*L43*M43</f>
        <v>90</v>
      </c>
      <c r="O43" s="1317" t="s">
        <v>37</v>
      </c>
    </row>
    <row r="44" spans="1:16" ht="63.75" customHeight="1">
      <c r="A44" s="1288"/>
      <c r="B44" s="1298"/>
      <c r="C44" s="151">
        <v>25.4</v>
      </c>
      <c r="D44" s="1295"/>
      <c r="E44" s="145"/>
      <c r="F44" s="145"/>
      <c r="G44" s="145"/>
      <c r="I44" s="1288"/>
      <c r="J44" s="294" t="s">
        <v>504</v>
      </c>
      <c r="K44" s="276">
        <v>0.248</v>
      </c>
      <c r="L44" s="289">
        <v>110</v>
      </c>
      <c r="M44" s="274">
        <v>0.4</v>
      </c>
      <c r="N44" s="278">
        <f>$K$44*L44*M44</f>
        <v>10.912000000000001</v>
      </c>
      <c r="O44" s="1317"/>
    </row>
    <row r="45" spans="1:16" ht="76.5" customHeight="1" thickBot="1">
      <c r="A45" s="1288"/>
      <c r="B45" s="1298"/>
      <c r="C45" s="151">
        <v>24.2</v>
      </c>
      <c r="D45" s="1295"/>
      <c r="E45" s="145"/>
      <c r="F45" s="145"/>
      <c r="G45" s="145"/>
      <c r="I45" s="1300"/>
      <c r="J45" s="269" t="s">
        <v>503</v>
      </c>
      <c r="K45" s="280">
        <v>0.56000000000000005</v>
      </c>
      <c r="L45" s="281">
        <v>139</v>
      </c>
      <c r="M45" s="282">
        <v>2.7</v>
      </c>
      <c r="N45" s="288">
        <f>$K$45*L45*M45</f>
        <v>210.16800000000003</v>
      </c>
      <c r="O45" s="1318"/>
    </row>
    <row r="46" spans="1:16" ht="15.75" thickBot="1">
      <c r="A46" s="1288"/>
      <c r="B46" s="1298"/>
      <c r="C46" s="151">
        <v>21</v>
      </c>
      <c r="D46" s="1295"/>
      <c r="E46" s="145"/>
      <c r="F46" s="145"/>
      <c r="G46" s="145"/>
      <c r="I46" s="1320" t="s">
        <v>23</v>
      </c>
      <c r="J46" s="1321"/>
      <c r="K46" s="1321"/>
      <c r="L46" s="1321"/>
      <c r="M46" s="1322"/>
      <c r="N46" s="316">
        <f>SUM(N43:N45)</f>
        <v>311.08000000000004</v>
      </c>
      <c r="O46" s="317" t="s">
        <v>37</v>
      </c>
    </row>
    <row r="47" spans="1:16" ht="15.75" thickBot="1">
      <c r="A47" s="1288"/>
      <c r="B47" s="1298"/>
      <c r="C47" s="151">
        <v>26.8</v>
      </c>
      <c r="D47" s="1295"/>
      <c r="E47" s="145"/>
      <c r="F47" s="145"/>
      <c r="G47" s="145"/>
      <c r="I47" s="1326" t="s">
        <v>572</v>
      </c>
      <c r="J47" s="1327"/>
      <c r="K47" s="1327"/>
      <c r="L47" s="1327"/>
      <c r="M47" s="1327"/>
      <c r="N47" s="1327"/>
      <c r="O47" s="1328"/>
    </row>
    <row r="48" spans="1:16" ht="27.75" customHeight="1" thickTop="1" thickBot="1">
      <c r="A48" s="1288"/>
      <c r="B48" s="1298"/>
      <c r="C48" s="151">
        <v>11.2</v>
      </c>
      <c r="D48" s="1295"/>
      <c r="E48" s="145"/>
      <c r="F48" s="145"/>
      <c r="G48" s="145"/>
      <c r="I48" s="306"/>
      <c r="J48" s="1339" t="s">
        <v>573</v>
      </c>
      <c r="K48" s="1340"/>
      <c r="L48" s="1340"/>
      <c r="M48" s="1341"/>
      <c r="N48" s="327">
        <f>28.28*(10*2*2+(5+1)*2*4)</f>
        <v>2488.6400000000003</v>
      </c>
      <c r="O48" s="326" t="s">
        <v>37</v>
      </c>
    </row>
    <row r="49" spans="1:7" ht="27.75" customHeight="1">
      <c r="A49" s="1288"/>
      <c r="B49" s="1298"/>
      <c r="C49" s="151">
        <v>11.9</v>
      </c>
      <c r="D49" s="1295"/>
      <c r="E49" s="145"/>
      <c r="F49" s="145"/>
      <c r="G49" s="145"/>
    </row>
    <row r="50" spans="1:7">
      <c r="A50" s="1288"/>
      <c r="B50" s="1298"/>
      <c r="C50" s="151">
        <v>11.3</v>
      </c>
      <c r="D50" s="1295"/>
      <c r="E50" s="145"/>
      <c r="F50" s="145"/>
      <c r="G50" s="145"/>
    </row>
    <row r="51" spans="1:7">
      <c r="A51" s="1288"/>
      <c r="B51" s="1298"/>
      <c r="C51" s="151">
        <f>20.5*2</f>
        <v>41</v>
      </c>
      <c r="D51" s="1295"/>
      <c r="E51" s="145"/>
      <c r="F51" s="145"/>
      <c r="G51" s="145"/>
    </row>
    <row r="52" spans="1:7" ht="15.75" thickBot="1">
      <c r="A52" s="1300"/>
      <c r="B52" s="1299"/>
      <c r="C52" s="165">
        <f>SUM(C27:C51)</f>
        <v>670.6</v>
      </c>
      <c r="D52" s="1296"/>
      <c r="E52" s="145"/>
      <c r="F52" s="145"/>
      <c r="G52" s="145"/>
    </row>
    <row r="54" spans="1:7" ht="42" customHeight="1">
      <c r="A54" s="1257" t="s">
        <v>536</v>
      </c>
      <c r="B54" s="1258"/>
      <c r="C54" s="151">
        <v>2400</v>
      </c>
      <c r="D54" s="151" t="s">
        <v>19</v>
      </c>
    </row>
    <row r="56" spans="1:7" ht="66.75" customHeight="1">
      <c r="A56" s="1257" t="s">
        <v>537</v>
      </c>
      <c r="B56" s="1258"/>
      <c r="C56" s="151">
        <f>C54*0.15</f>
        <v>360</v>
      </c>
      <c r="D56" s="151" t="s">
        <v>118</v>
      </c>
      <c r="E56" s="322"/>
      <c r="F56" s="322"/>
      <c r="G56" s="322"/>
    </row>
  </sheetData>
  <mergeCells count="75">
    <mergeCell ref="I37:O37"/>
    <mergeCell ref="I38:I40"/>
    <mergeCell ref="O38:O40"/>
    <mergeCell ref="I41:M41"/>
    <mergeCell ref="J48:M48"/>
    <mergeCell ref="I47:O47"/>
    <mergeCell ref="I42:O42"/>
    <mergeCell ref="I43:I45"/>
    <mergeCell ref="O43:O45"/>
    <mergeCell ref="I46:M46"/>
    <mergeCell ref="B21:C21"/>
    <mergeCell ref="I26:I27"/>
    <mergeCell ref="O26:O27"/>
    <mergeCell ref="I28:O28"/>
    <mergeCell ref="B22:B25"/>
    <mergeCell ref="I29:I36"/>
    <mergeCell ref="J29:J36"/>
    <mergeCell ref="K29:K36"/>
    <mergeCell ref="O29:O36"/>
    <mergeCell ref="J3:O3"/>
    <mergeCell ref="I4:O4"/>
    <mergeCell ref="I5:I6"/>
    <mergeCell ref="O13:O14"/>
    <mergeCell ref="I15:I16"/>
    <mergeCell ref="O15:O16"/>
    <mergeCell ref="O5:O6"/>
    <mergeCell ref="I7:O7"/>
    <mergeCell ref="I8:I12"/>
    <mergeCell ref="J8:J11"/>
    <mergeCell ref="K8:K11"/>
    <mergeCell ref="O8:O12"/>
    <mergeCell ref="I13:I14"/>
    <mergeCell ref="A15:A17"/>
    <mergeCell ref="A13:E13"/>
    <mergeCell ref="A18:E18"/>
    <mergeCell ref="B4:G4"/>
    <mergeCell ref="B6:G6"/>
    <mergeCell ref="B14:G14"/>
    <mergeCell ref="Y7:Y15"/>
    <mergeCell ref="A22:A25"/>
    <mergeCell ref="D22:D25"/>
    <mergeCell ref="D27:D52"/>
    <mergeCell ref="V7:V15"/>
    <mergeCell ref="B27:B52"/>
    <mergeCell ref="A27:A52"/>
    <mergeCell ref="Q12:Q15"/>
    <mergeCell ref="R12:R15"/>
    <mergeCell ref="T12:T15"/>
    <mergeCell ref="I17:I23"/>
    <mergeCell ref="J17:J22"/>
    <mergeCell ref="K17:K22"/>
    <mergeCell ref="O17:O23"/>
    <mergeCell ref="I24:I25"/>
    <mergeCell ref="O24:O25"/>
    <mergeCell ref="A1:G1"/>
    <mergeCell ref="I1:O1"/>
    <mergeCell ref="Q1:T1"/>
    <mergeCell ref="V1:Y1"/>
    <mergeCell ref="AA1:AD1"/>
    <mergeCell ref="A54:B54"/>
    <mergeCell ref="A56:B56"/>
    <mergeCell ref="AB3:AD3"/>
    <mergeCell ref="AB22:AD22"/>
    <mergeCell ref="AB21:AD21"/>
    <mergeCell ref="R3:T3"/>
    <mergeCell ref="W4:Y4"/>
    <mergeCell ref="W3:Y3"/>
    <mergeCell ref="B3:G3"/>
    <mergeCell ref="W17:Y17"/>
    <mergeCell ref="Y24:Y27"/>
    <mergeCell ref="W7:W15"/>
    <mergeCell ref="W24:W27"/>
    <mergeCell ref="R9:T9"/>
    <mergeCell ref="R8:T8"/>
    <mergeCell ref="V24:V27"/>
  </mergeCells>
  <phoneticPr fontId="26" type="noConversion"/>
  <pageMargins left="0.70866141732283472" right="0.70866141732283472" top="1.4960629921259843" bottom="0.74803149606299213" header="0.31496062992125984" footer="0.31496062992125984"/>
  <pageSetup paperSize="9" scale="87" fitToHeight="7" orientation="portrait" horizontalDpi="4294967295" verticalDpi="4294967295" r:id="rId1"/>
  <headerFooter>
    <oddHeader>&amp;L&amp;G&amp;C&amp;18PRESUPUESTO PARQUE COPACABANA&amp;R&amp;G</oddHeader>
  </headerFooter>
  <rowBreaks count="2" manualBreakCount="2">
    <brk id="25" min="8" max="14" man="1"/>
    <brk id="26" max="6" man="1"/>
  </rowBreaks>
  <ignoredErrors>
    <ignoredError sqref="K9:K11 K18:K22" numberStoredAsText="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3486-337B-4397-97A6-FA494EFF47FA}">
  <dimension ref="A1:K182"/>
  <sheetViews>
    <sheetView view="pageBreakPreview" topLeftCell="A164" zoomScale="130" zoomScaleNormal="100" zoomScaleSheetLayoutView="130" workbookViewId="0">
      <selection activeCell="I175" sqref="I175"/>
    </sheetView>
  </sheetViews>
  <sheetFormatPr baseColWidth="10" defaultRowHeight="15"/>
  <cols>
    <col min="9" max="9" width="13.28515625" bestFit="1" customWidth="1"/>
    <col min="10" max="10" width="11.7109375" bestFit="1" customWidth="1"/>
    <col min="11" max="11" width="14.28515625" bestFit="1" customWidth="1"/>
  </cols>
  <sheetData>
    <row r="1" spans="1:8">
      <c r="A1" s="186" t="s">
        <v>77</v>
      </c>
      <c r="B1" s="446"/>
      <c r="C1" s="446"/>
      <c r="D1" s="446"/>
      <c r="E1" s="446"/>
      <c r="F1" s="446"/>
      <c r="G1" s="446"/>
      <c r="H1" s="446"/>
    </row>
    <row r="2" spans="1:8" ht="15.75" thickBot="1">
      <c r="A2" s="446"/>
      <c r="B2" s="446"/>
      <c r="C2" s="446"/>
      <c r="D2" s="446"/>
      <c r="E2" s="446"/>
      <c r="F2" s="446"/>
      <c r="G2" s="446"/>
      <c r="H2" s="446"/>
    </row>
    <row r="3" spans="1:8">
      <c r="A3" s="1348" t="s">
        <v>213</v>
      </c>
      <c r="B3" s="1349"/>
      <c r="C3" s="1350"/>
      <c r="D3" s="448"/>
      <c r="E3" s="448"/>
      <c r="F3" s="448"/>
      <c r="G3" s="448"/>
      <c r="H3" s="449"/>
    </row>
    <row r="4" spans="1:8">
      <c r="A4" s="1351"/>
      <c r="B4" s="1352"/>
      <c r="C4" s="1353"/>
      <c r="D4" s="436"/>
      <c r="E4" s="450" t="s">
        <v>78</v>
      </c>
      <c r="F4" s="436"/>
      <c r="G4" s="436"/>
      <c r="H4" s="451"/>
    </row>
    <row r="5" spans="1:8" ht="15.75" thickBot="1">
      <c r="A5" s="1354"/>
      <c r="B5" s="1355"/>
      <c r="C5" s="1356"/>
      <c r="D5" s="1360"/>
      <c r="E5" s="1361"/>
      <c r="F5" s="1361"/>
      <c r="G5" s="1361"/>
      <c r="H5" s="1362"/>
    </row>
    <row r="6" spans="1:8">
      <c r="A6" s="455"/>
      <c r="B6" s="436"/>
      <c r="C6" s="436"/>
      <c r="D6" s="436"/>
      <c r="E6" s="436"/>
      <c r="F6" s="436"/>
      <c r="G6" s="436"/>
      <c r="H6" s="436"/>
    </row>
    <row r="7" spans="1:8">
      <c r="A7" s="455" t="s">
        <v>559</v>
      </c>
      <c r="B7" s="456"/>
      <c r="C7" s="436"/>
      <c r="D7" s="446"/>
      <c r="E7" s="456"/>
      <c r="F7" s="446"/>
      <c r="G7" s="456" t="s">
        <v>637</v>
      </c>
      <c r="H7" s="436"/>
    </row>
    <row r="8" spans="1:8">
      <c r="A8" s="455" t="s">
        <v>639</v>
      </c>
      <c r="B8" s="456"/>
      <c r="C8" s="436"/>
      <c r="D8" s="456"/>
      <c r="E8" s="456"/>
      <c r="F8" s="456"/>
      <c r="G8" s="456" t="s">
        <v>223</v>
      </c>
      <c r="H8" s="436"/>
    </row>
    <row r="9" spans="1:8">
      <c r="A9" s="456"/>
      <c r="B9" s="456"/>
      <c r="C9" s="436"/>
      <c r="D9" s="456"/>
      <c r="E9" s="456"/>
      <c r="F9" s="456"/>
      <c r="G9" s="456"/>
      <c r="H9" s="436"/>
    </row>
    <row r="10" spans="1:8" ht="15.75" thickBot="1">
      <c r="A10" s="450" t="s">
        <v>79</v>
      </c>
      <c r="B10" s="450"/>
      <c r="C10" s="436"/>
      <c r="D10" s="436"/>
      <c r="E10" s="436"/>
      <c r="F10" s="436"/>
      <c r="G10" s="436"/>
      <c r="H10" s="436"/>
    </row>
    <row r="11" spans="1:8">
      <c r="A11" s="1345" t="s">
        <v>80</v>
      </c>
      <c r="B11" s="1346"/>
      <c r="C11" s="1347"/>
      <c r="D11" s="438" t="s">
        <v>81</v>
      </c>
      <c r="E11" s="438" t="s">
        <v>82</v>
      </c>
      <c r="F11" s="438" t="s">
        <v>83</v>
      </c>
      <c r="G11" s="439" t="s">
        <v>84</v>
      </c>
      <c r="H11" s="457"/>
    </row>
    <row r="12" spans="1:8">
      <c r="A12" s="1357" t="s">
        <v>85</v>
      </c>
      <c r="B12" s="1358"/>
      <c r="C12" s="1359"/>
      <c r="D12" s="459"/>
      <c r="E12" s="440"/>
      <c r="F12" s="440"/>
      <c r="G12" s="432">
        <f>ROUND(H38*0.05,0)</f>
        <v>1215</v>
      </c>
      <c r="H12" s="460"/>
    </row>
    <row r="13" spans="1:8">
      <c r="A13" s="1357" t="s">
        <v>664</v>
      </c>
      <c r="B13" s="1358"/>
      <c r="C13" s="1359"/>
      <c r="D13" s="461"/>
      <c r="E13" s="681">
        <v>7200</v>
      </c>
      <c r="F13" s="682">
        <f>4*2+2*2</f>
        <v>12</v>
      </c>
      <c r="G13" s="432">
        <f>E13*F13</f>
        <v>86400</v>
      </c>
      <c r="H13" s="460"/>
    </row>
    <row r="14" spans="1:8" ht="33.6" customHeight="1" thickBot="1">
      <c r="A14" s="1363" t="s">
        <v>663</v>
      </c>
      <c r="B14" s="1364"/>
      <c r="C14" s="1365"/>
      <c r="D14" s="506"/>
      <c r="E14" s="685">
        <v>78500</v>
      </c>
      <c r="F14" s="507">
        <v>1</v>
      </c>
      <c r="G14" s="505">
        <f>E14*F14</f>
        <v>78500</v>
      </c>
      <c r="H14" s="465"/>
    </row>
    <row r="15" spans="1:8" ht="15.75" thickBot="1">
      <c r="A15" s="436"/>
      <c r="B15" s="436"/>
      <c r="C15" s="436"/>
      <c r="D15" s="436"/>
      <c r="E15" s="436"/>
      <c r="F15" s="436"/>
      <c r="G15" s="437" t="s">
        <v>86</v>
      </c>
      <c r="H15" s="466">
        <f>SUM(G12:G14)</f>
        <v>166115</v>
      </c>
    </row>
    <row r="16" spans="1:8" ht="15.75" thickBot="1">
      <c r="A16" s="450" t="s">
        <v>87</v>
      </c>
      <c r="B16" s="450"/>
      <c r="C16" s="436"/>
      <c r="D16" s="436"/>
      <c r="E16" s="436"/>
      <c r="F16" s="436"/>
      <c r="G16" s="436"/>
      <c r="H16" s="436"/>
    </row>
    <row r="17" spans="1:11">
      <c r="A17" s="1345" t="s">
        <v>80</v>
      </c>
      <c r="B17" s="1346"/>
      <c r="C17" s="1347"/>
      <c r="D17" s="438" t="s">
        <v>88</v>
      </c>
      <c r="E17" s="438" t="s">
        <v>89</v>
      </c>
      <c r="F17" s="438" t="s">
        <v>90</v>
      </c>
      <c r="G17" s="439" t="s">
        <v>84</v>
      </c>
      <c r="H17" s="457"/>
    </row>
    <row r="18" spans="1:11">
      <c r="A18" s="458"/>
      <c r="B18" s="467"/>
      <c r="C18" s="468"/>
      <c r="D18" s="459"/>
      <c r="E18" s="430"/>
      <c r="F18" s="440"/>
      <c r="G18" s="432">
        <f>E18*F18</f>
        <v>0</v>
      </c>
      <c r="H18" s="460"/>
    </row>
    <row r="19" spans="1:11">
      <c r="A19" s="469"/>
      <c r="B19" s="467"/>
      <c r="C19" s="468"/>
      <c r="D19" s="459"/>
      <c r="E19" s="470"/>
      <c r="F19" s="440"/>
      <c r="G19" s="432">
        <f>F19*E19</f>
        <v>0</v>
      </c>
      <c r="H19" s="460"/>
    </row>
    <row r="20" spans="1:11">
      <c r="A20" s="469"/>
      <c r="B20" s="467"/>
      <c r="C20" s="471"/>
      <c r="D20" s="459"/>
      <c r="E20" s="470"/>
      <c r="F20" s="440"/>
      <c r="G20" s="432">
        <f>F20*E20</f>
        <v>0</v>
      </c>
      <c r="H20" s="460"/>
    </row>
    <row r="21" spans="1:11">
      <c r="A21" s="469"/>
      <c r="B21" s="467"/>
      <c r="C21" s="471"/>
      <c r="D21" s="459"/>
      <c r="E21" s="430"/>
      <c r="F21" s="431"/>
      <c r="G21" s="432">
        <f>SUM(G18:G20)*C21</f>
        <v>0</v>
      </c>
      <c r="H21" s="460"/>
    </row>
    <row r="22" spans="1:11">
      <c r="A22" s="469"/>
      <c r="B22" s="467"/>
      <c r="C22" s="468"/>
      <c r="D22" s="459"/>
      <c r="E22" s="430"/>
      <c r="F22" s="431"/>
      <c r="G22" s="432"/>
      <c r="H22" s="460"/>
    </row>
    <row r="23" spans="1:11" ht="15.75" thickBot="1">
      <c r="A23" s="472"/>
      <c r="B23" s="473"/>
      <c r="C23" s="474"/>
      <c r="D23" s="464"/>
      <c r="E23" s="433"/>
      <c r="F23" s="434"/>
      <c r="G23" s="435"/>
      <c r="H23" s="465"/>
    </row>
    <row r="24" spans="1:11" ht="15.75" thickBot="1">
      <c r="A24" s="436"/>
      <c r="B24" s="436"/>
      <c r="C24" s="436"/>
      <c r="D24" s="436"/>
      <c r="E24" s="436"/>
      <c r="F24" s="436"/>
      <c r="G24" s="437" t="s">
        <v>86</v>
      </c>
      <c r="H24" s="466">
        <f>SUM(G18:G23)</f>
        <v>0</v>
      </c>
    </row>
    <row r="25" spans="1:11" ht="15.75" thickBot="1">
      <c r="A25" s="508" t="s">
        <v>94</v>
      </c>
      <c r="B25" s="508"/>
      <c r="C25" s="509"/>
      <c r="D25" s="510"/>
      <c r="E25" s="510"/>
      <c r="F25" s="510"/>
      <c r="G25" s="510"/>
      <c r="H25" s="510"/>
    </row>
    <row r="26" spans="1:11">
      <c r="A26" s="511" t="s">
        <v>95</v>
      </c>
      <c r="B26" s="512"/>
      <c r="C26" s="513" t="s">
        <v>627</v>
      </c>
      <c r="D26" s="514" t="s">
        <v>628</v>
      </c>
      <c r="E26" s="514" t="s">
        <v>629</v>
      </c>
      <c r="F26" s="514" t="s">
        <v>630</v>
      </c>
      <c r="G26" s="515" t="s">
        <v>84</v>
      </c>
      <c r="H26" s="516"/>
    </row>
    <row r="27" spans="1:11" s="521" customFormat="1" ht="28.9" customHeight="1">
      <c r="A27" s="1366" t="s">
        <v>665</v>
      </c>
      <c r="B27" s="1367"/>
      <c r="C27" s="687">
        <v>1.4</v>
      </c>
      <c r="D27" s="517"/>
      <c r="E27" s="518"/>
      <c r="F27" s="684">
        <v>35000</v>
      </c>
      <c r="G27" s="519">
        <f>+C27*F27</f>
        <v>49000</v>
      </c>
      <c r="H27" s="520"/>
    </row>
    <row r="28" spans="1:11">
      <c r="A28" s="522"/>
      <c r="B28" s="523"/>
      <c r="C28" s="524"/>
      <c r="D28" s="525"/>
      <c r="E28" s="526"/>
      <c r="F28" s="527"/>
      <c r="G28" s="528"/>
      <c r="H28" s="529"/>
    </row>
    <row r="29" spans="1:11" ht="15.75" thickBot="1">
      <c r="A29" s="530"/>
      <c r="B29" s="531"/>
      <c r="C29" s="532"/>
      <c r="D29" s="533"/>
      <c r="E29" s="534"/>
      <c r="F29" s="535"/>
      <c r="G29" s="532"/>
      <c r="H29" s="529"/>
      <c r="J29" s="323"/>
      <c r="K29" s="683"/>
    </row>
    <row r="30" spans="1:11" ht="15.75" thickBot="1">
      <c r="A30" s="510"/>
      <c r="B30" s="510"/>
      <c r="C30" s="510"/>
      <c r="D30" s="510"/>
      <c r="E30" s="510"/>
      <c r="F30" s="510"/>
      <c r="G30" s="536" t="s">
        <v>86</v>
      </c>
      <c r="H30" s="537">
        <f>SUM(G27:G29)</f>
        <v>49000</v>
      </c>
    </row>
    <row r="31" spans="1:11" ht="15.75" thickBot="1">
      <c r="A31" s="450" t="s">
        <v>96</v>
      </c>
      <c r="B31" s="450"/>
      <c r="C31" s="436"/>
      <c r="D31" s="436"/>
      <c r="E31" s="436"/>
      <c r="F31" s="436"/>
      <c r="G31" s="436"/>
      <c r="H31" s="436"/>
    </row>
    <row r="32" spans="1:11">
      <c r="A32" s="476" t="s">
        <v>97</v>
      </c>
      <c r="B32" s="438"/>
      <c r="C32" s="438" t="s">
        <v>98</v>
      </c>
      <c r="D32" s="438" t="s">
        <v>99</v>
      </c>
      <c r="E32" s="442" t="s">
        <v>100</v>
      </c>
      <c r="F32" s="443" t="s">
        <v>83</v>
      </c>
      <c r="G32" s="444" t="s">
        <v>84</v>
      </c>
      <c r="H32" s="477"/>
    </row>
    <row r="33" spans="1:11">
      <c r="A33" s="478" t="s">
        <v>227</v>
      </c>
      <c r="B33" s="468"/>
      <c r="C33" s="479">
        <f>PERSONAL!$E$31</f>
        <v>48800</v>
      </c>
      <c r="D33" s="480">
        <f>PERSONAL!$F$31</f>
        <v>1.7431000000000001</v>
      </c>
      <c r="E33" s="440">
        <f>+D33*C33</f>
        <v>85063.28</v>
      </c>
      <c r="F33" s="686">
        <v>3.5</v>
      </c>
      <c r="G33" s="445">
        <f>ROUND(E33/F33,0)</f>
        <v>24304</v>
      </c>
      <c r="H33" s="451"/>
    </row>
    <row r="34" spans="1:11">
      <c r="A34" s="478"/>
      <c r="B34" s="467"/>
      <c r="C34" s="479"/>
      <c r="D34" s="480"/>
      <c r="E34" s="440"/>
      <c r="F34" s="440"/>
      <c r="G34" s="445"/>
      <c r="H34" s="451"/>
      <c r="K34" s="683"/>
    </row>
    <row r="35" spans="1:11">
      <c r="A35" s="478"/>
      <c r="B35" s="468"/>
      <c r="C35" s="430"/>
      <c r="D35" s="459"/>
      <c r="E35" s="430"/>
      <c r="F35" s="440"/>
      <c r="G35" s="445"/>
      <c r="H35" s="451"/>
    </row>
    <row r="36" spans="1:11">
      <c r="A36" s="478"/>
      <c r="B36" s="468"/>
      <c r="C36" s="430"/>
      <c r="D36" s="459"/>
      <c r="E36" s="430"/>
      <c r="F36" s="440"/>
      <c r="G36" s="445"/>
      <c r="H36" s="451"/>
    </row>
    <row r="37" spans="1:11" ht="15.75" thickBot="1">
      <c r="A37" s="481"/>
      <c r="B37" s="474"/>
      <c r="C37" s="474"/>
      <c r="D37" s="474"/>
      <c r="E37" s="474"/>
      <c r="F37" s="474"/>
      <c r="G37" s="482"/>
      <c r="H37" s="482"/>
    </row>
    <row r="38" spans="1:11" ht="15.75" thickBot="1">
      <c r="A38" s="436"/>
      <c r="B38" s="436"/>
      <c r="C38" s="436"/>
      <c r="D38" s="436"/>
      <c r="E38" s="436"/>
      <c r="F38" s="436"/>
      <c r="G38" s="437" t="s">
        <v>86</v>
      </c>
      <c r="H38" s="466">
        <f>SUM(G33:G37)</f>
        <v>24304</v>
      </c>
    </row>
    <row r="39" spans="1:11" ht="15.75" thickBot="1">
      <c r="A39" s="436"/>
      <c r="B39" s="436"/>
      <c r="C39" s="436"/>
      <c r="D39" s="436"/>
      <c r="E39" s="436"/>
      <c r="F39" s="436"/>
      <c r="G39" s="483"/>
      <c r="H39" s="436"/>
    </row>
    <row r="40" spans="1:11" ht="15.75" thickBot="1">
      <c r="A40" s="436"/>
      <c r="B40" s="436"/>
      <c r="C40" s="436"/>
      <c r="D40" s="436"/>
      <c r="E40" s="484" t="s">
        <v>102</v>
      </c>
      <c r="F40" s="485"/>
      <c r="G40" s="485"/>
      <c r="H40" s="466">
        <f>H15+H24+H30+H38</f>
        <v>239419</v>
      </c>
    </row>
    <row r="41" spans="1:11" ht="15.75" thickBot="1">
      <c r="A41" s="450" t="s">
        <v>103</v>
      </c>
      <c r="B41" s="450"/>
      <c r="C41" s="436"/>
      <c r="D41" s="436"/>
      <c r="E41" s="436"/>
      <c r="F41" s="436"/>
      <c r="G41" s="436"/>
      <c r="H41" s="436"/>
    </row>
    <row r="42" spans="1:11">
      <c r="A42" s="487" t="s">
        <v>80</v>
      </c>
      <c r="B42" s="488"/>
      <c r="C42" s="488"/>
      <c r="D42" s="488"/>
      <c r="E42" s="489"/>
      <c r="F42" s="490" t="s">
        <v>104</v>
      </c>
      <c r="G42" s="491" t="s">
        <v>105</v>
      </c>
      <c r="H42" s="457"/>
    </row>
    <row r="43" spans="1:11">
      <c r="A43" s="469" t="s">
        <v>106</v>
      </c>
      <c r="B43" s="467"/>
      <c r="C43" s="467"/>
      <c r="D43" s="467"/>
      <c r="E43" s="468"/>
      <c r="F43" s="492">
        <f>PRESUPUESTO!$E$222</f>
        <v>0.109</v>
      </c>
      <c r="G43" s="493">
        <f>+F43*H40</f>
        <v>26096.670999999998</v>
      </c>
      <c r="H43" s="460"/>
    </row>
    <row r="44" spans="1:11" ht="15.75" thickBot="1">
      <c r="A44" s="472" t="s">
        <v>108</v>
      </c>
      <c r="B44" s="473"/>
      <c r="C44" s="473"/>
      <c r="D44" s="473"/>
      <c r="E44" s="474"/>
      <c r="F44" s="494">
        <f>PRESUPUESTO!$E$223</f>
        <v>0.05</v>
      </c>
      <c r="G44" s="495">
        <f>+F44*H40</f>
        <v>11970.95</v>
      </c>
      <c r="H44" s="465"/>
    </row>
    <row r="45" spans="1:11" ht="15.75" thickBot="1">
      <c r="A45" s="436"/>
      <c r="B45" s="436"/>
      <c r="C45" s="436"/>
      <c r="D45" s="436"/>
      <c r="E45" s="436"/>
      <c r="F45" s="436"/>
      <c r="G45" s="437" t="s">
        <v>86</v>
      </c>
      <c r="H45" s="496">
        <f>SUM(G43:G44)</f>
        <v>38067.620999999999</v>
      </c>
    </row>
    <row r="46" spans="1:11" ht="15.75" thickBot="1">
      <c r="A46" s="436"/>
      <c r="B46" s="436"/>
      <c r="C46" s="436"/>
      <c r="D46" s="436"/>
      <c r="E46" s="436"/>
      <c r="F46" s="436"/>
      <c r="G46" s="436"/>
      <c r="H46" s="436"/>
    </row>
    <row r="47" spans="1:11" ht="15.75" thickBot="1">
      <c r="A47" s="446"/>
      <c r="B47" s="446"/>
      <c r="C47" s="436"/>
      <c r="D47" s="484" t="s">
        <v>109</v>
      </c>
      <c r="E47" s="485"/>
      <c r="F47" s="485"/>
      <c r="G47" s="485"/>
      <c r="H47" s="466">
        <f>ROUND((H40+H45),0)</f>
        <v>277487</v>
      </c>
    </row>
    <row r="49" spans="1:8">
      <c r="A49" s="186" t="s">
        <v>77</v>
      </c>
      <c r="B49" s="446"/>
      <c r="C49" s="446"/>
      <c r="D49" s="446"/>
      <c r="E49" s="446"/>
      <c r="F49" s="446"/>
      <c r="G49" s="446"/>
      <c r="H49" s="446"/>
    </row>
    <row r="50" spans="1:8" ht="15.75" thickBot="1">
      <c r="A50" s="446"/>
      <c r="B50" s="446"/>
      <c r="C50" s="446"/>
      <c r="D50" s="446"/>
      <c r="E50" s="446"/>
      <c r="F50" s="446"/>
      <c r="G50" s="446"/>
      <c r="H50" s="446"/>
    </row>
    <row r="51" spans="1:8">
      <c r="A51" s="1348" t="s">
        <v>213</v>
      </c>
      <c r="B51" s="1349"/>
      <c r="C51" s="1350"/>
      <c r="D51" s="448"/>
      <c r="E51" s="448"/>
      <c r="F51" s="448"/>
      <c r="G51" s="448"/>
      <c r="H51" s="449"/>
    </row>
    <row r="52" spans="1:8">
      <c r="A52" s="1351"/>
      <c r="B52" s="1352"/>
      <c r="C52" s="1353"/>
      <c r="D52" s="436"/>
      <c r="E52" s="450" t="s">
        <v>78</v>
      </c>
      <c r="F52" s="436"/>
      <c r="G52" s="436"/>
      <c r="H52" s="451"/>
    </row>
    <row r="53" spans="1:8" ht="15.75" thickBot="1">
      <c r="A53" s="1354"/>
      <c r="B53" s="1355"/>
      <c r="C53" s="1356"/>
      <c r="D53" s="1360"/>
      <c r="E53" s="1361"/>
      <c r="F53" s="1361"/>
      <c r="G53" s="1361"/>
      <c r="H53" s="1362"/>
    </row>
    <row r="54" spans="1:8">
      <c r="A54" s="455"/>
      <c r="B54" s="436"/>
      <c r="C54" s="436"/>
      <c r="D54" s="436"/>
      <c r="E54" s="436"/>
      <c r="F54" s="436"/>
      <c r="G54" s="436"/>
      <c r="H54" s="436"/>
    </row>
    <row r="55" spans="1:8">
      <c r="A55" s="455" t="s">
        <v>559</v>
      </c>
      <c r="B55" s="456"/>
      <c r="C55" s="436"/>
      <c r="D55" s="446"/>
      <c r="E55" s="456"/>
      <c r="F55" s="446"/>
      <c r="G55" s="456" t="s">
        <v>638</v>
      </c>
      <c r="H55" s="436"/>
    </row>
    <row r="56" spans="1:8">
      <c r="A56" s="455" t="s">
        <v>640</v>
      </c>
      <c r="B56" s="456"/>
      <c r="C56" s="436"/>
      <c r="D56" s="456"/>
      <c r="E56" s="456"/>
      <c r="F56" s="456"/>
      <c r="G56" s="456" t="s">
        <v>223</v>
      </c>
      <c r="H56" s="436"/>
    </row>
    <row r="57" spans="1:8">
      <c r="A57" s="456"/>
      <c r="B57" s="456"/>
      <c r="C57" s="436"/>
      <c r="D57" s="456"/>
      <c r="E57" s="456"/>
      <c r="F57" s="456"/>
      <c r="G57" s="456"/>
      <c r="H57" s="436"/>
    </row>
    <row r="58" spans="1:8" ht="15.75" thickBot="1">
      <c r="A58" s="450" t="s">
        <v>79</v>
      </c>
      <c r="B58" s="450"/>
      <c r="C58" s="436"/>
      <c r="D58" s="436"/>
      <c r="E58" s="436"/>
      <c r="F58" s="436"/>
      <c r="G58" s="436"/>
      <c r="H58" s="436"/>
    </row>
    <row r="59" spans="1:8">
      <c r="A59" s="1345" t="s">
        <v>80</v>
      </c>
      <c r="B59" s="1346"/>
      <c r="C59" s="1347"/>
      <c r="D59" s="438" t="s">
        <v>81</v>
      </c>
      <c r="E59" s="438" t="s">
        <v>82</v>
      </c>
      <c r="F59" s="438" t="s">
        <v>83</v>
      </c>
      <c r="G59" s="439" t="s">
        <v>84</v>
      </c>
      <c r="H59" s="457"/>
    </row>
    <row r="60" spans="1:8">
      <c r="A60" s="1357" t="s">
        <v>85</v>
      </c>
      <c r="B60" s="1358"/>
      <c r="C60" s="1359"/>
      <c r="D60" s="459"/>
      <c r="E60" s="440"/>
      <c r="F60" s="440"/>
      <c r="G60" s="432">
        <f>ROUND(H86*0.05,0)</f>
        <v>3387</v>
      </c>
      <c r="H60" s="460"/>
    </row>
    <row r="61" spans="1:8" ht="15.75" thickBot="1">
      <c r="A61" s="1357" t="s">
        <v>664</v>
      </c>
      <c r="B61" s="1358"/>
      <c r="C61" s="1359"/>
      <c r="D61" s="461"/>
      <c r="E61" s="681">
        <v>7200</v>
      </c>
      <c r="F61" s="682">
        <f>4*2+2*2</f>
        <v>12</v>
      </c>
      <c r="G61" s="505">
        <f>E61*F61</f>
        <v>86400</v>
      </c>
      <c r="H61" s="460"/>
    </row>
    <row r="62" spans="1:8" ht="31.15" customHeight="1" thickBot="1">
      <c r="A62" s="1363" t="s">
        <v>663</v>
      </c>
      <c r="B62" s="1364"/>
      <c r="C62" s="1365"/>
      <c r="D62" s="506"/>
      <c r="E62" s="685">
        <v>78500</v>
      </c>
      <c r="F62" s="507">
        <v>1</v>
      </c>
      <c r="G62" s="505">
        <f>E62*F62</f>
        <v>78500</v>
      </c>
      <c r="H62" s="465"/>
    </row>
    <row r="63" spans="1:8" ht="15.75" thickBot="1">
      <c r="A63" s="436"/>
      <c r="B63" s="436"/>
      <c r="C63" s="436"/>
      <c r="D63" s="436"/>
      <c r="E63" s="436"/>
      <c r="F63" s="436"/>
      <c r="G63" s="437" t="s">
        <v>86</v>
      </c>
      <c r="H63" s="466">
        <f>SUM(G60:G62)</f>
        <v>168287</v>
      </c>
    </row>
    <row r="64" spans="1:8" ht="15.75" thickBot="1">
      <c r="A64" s="450" t="s">
        <v>87</v>
      </c>
      <c r="B64" s="450"/>
      <c r="C64" s="436"/>
      <c r="D64" s="436"/>
      <c r="E64" s="436"/>
      <c r="F64" s="436"/>
      <c r="G64" s="436"/>
      <c r="H64" s="436"/>
    </row>
    <row r="65" spans="1:8">
      <c r="A65" s="1345" t="s">
        <v>80</v>
      </c>
      <c r="B65" s="1346"/>
      <c r="C65" s="1347"/>
      <c r="D65" s="438" t="s">
        <v>88</v>
      </c>
      <c r="E65" s="438" t="s">
        <v>89</v>
      </c>
      <c r="F65" s="438" t="s">
        <v>90</v>
      </c>
      <c r="G65" s="439" t="s">
        <v>84</v>
      </c>
      <c r="H65" s="457"/>
    </row>
    <row r="66" spans="1:8">
      <c r="A66" s="458"/>
      <c r="B66" s="467"/>
      <c r="C66" s="468"/>
      <c r="D66" s="459"/>
      <c r="E66" s="430"/>
      <c r="F66" s="440"/>
      <c r="G66" s="432">
        <f>E66*F66</f>
        <v>0</v>
      </c>
      <c r="H66" s="460"/>
    </row>
    <row r="67" spans="1:8">
      <c r="A67" s="469"/>
      <c r="B67" s="467"/>
      <c r="C67" s="468"/>
      <c r="D67" s="459"/>
      <c r="E67" s="470"/>
      <c r="F67" s="440"/>
      <c r="G67" s="432">
        <f>F67*E67</f>
        <v>0</v>
      </c>
      <c r="H67" s="460"/>
    </row>
    <row r="68" spans="1:8">
      <c r="A68" s="469"/>
      <c r="B68" s="467"/>
      <c r="C68" s="471"/>
      <c r="D68" s="459"/>
      <c r="E68" s="470"/>
      <c r="F68" s="440"/>
      <c r="G68" s="432">
        <f>F68*E68</f>
        <v>0</v>
      </c>
      <c r="H68" s="460"/>
    </row>
    <row r="69" spans="1:8">
      <c r="A69" s="469" t="s">
        <v>93</v>
      </c>
      <c r="B69" s="467"/>
      <c r="C69" s="471">
        <v>0.05</v>
      </c>
      <c r="D69" s="459"/>
      <c r="E69" s="430"/>
      <c r="F69" s="431"/>
      <c r="G69" s="432">
        <f>SUM(G66:G68)*C69</f>
        <v>0</v>
      </c>
      <c r="H69" s="460"/>
    </row>
    <row r="70" spans="1:8">
      <c r="A70" s="469"/>
      <c r="B70" s="467"/>
      <c r="C70" s="468"/>
      <c r="D70" s="459"/>
      <c r="E70" s="430"/>
      <c r="F70" s="431"/>
      <c r="G70" s="432"/>
      <c r="H70" s="460"/>
    </row>
    <row r="71" spans="1:8" ht="15.75" thickBot="1">
      <c r="A71" s="472"/>
      <c r="B71" s="473"/>
      <c r="C71" s="474"/>
      <c r="D71" s="464"/>
      <c r="E71" s="433"/>
      <c r="F71" s="434"/>
      <c r="G71" s="435"/>
      <c r="H71" s="465"/>
    </row>
    <row r="72" spans="1:8" ht="15.75" thickBot="1">
      <c r="A72" s="436"/>
      <c r="B72" s="436"/>
      <c r="C72" s="436"/>
      <c r="D72" s="436"/>
      <c r="E72" s="436"/>
      <c r="F72" s="436"/>
      <c r="G72" s="437" t="s">
        <v>86</v>
      </c>
      <c r="H72" s="466">
        <f>SUM(G66:G71)</f>
        <v>0</v>
      </c>
    </row>
    <row r="73" spans="1:8" ht="15.75" thickBot="1">
      <c r="A73" s="508" t="s">
        <v>94</v>
      </c>
      <c r="B73" s="508"/>
      <c r="C73" s="509"/>
      <c r="D73" s="510"/>
      <c r="E73" s="510"/>
      <c r="F73" s="510"/>
      <c r="G73" s="510"/>
      <c r="H73" s="510"/>
    </row>
    <row r="74" spans="1:8">
      <c r="A74" s="511" t="s">
        <v>95</v>
      </c>
      <c r="B74" s="512"/>
      <c r="C74" s="513" t="s">
        <v>627</v>
      </c>
      <c r="D74" s="514" t="s">
        <v>628</v>
      </c>
      <c r="E74" s="514" t="s">
        <v>629</v>
      </c>
      <c r="F74" s="514" t="s">
        <v>630</v>
      </c>
      <c r="G74" s="515" t="s">
        <v>84</v>
      </c>
      <c r="H74" s="516"/>
    </row>
    <row r="75" spans="1:8" ht="24" customHeight="1">
      <c r="A75" s="1366" t="s">
        <v>665</v>
      </c>
      <c r="B75" s="1367"/>
      <c r="C75" s="687">
        <v>1.4</v>
      </c>
      <c r="D75" s="517"/>
      <c r="E75" s="518"/>
      <c r="F75" s="684">
        <v>35000</v>
      </c>
      <c r="G75" s="519">
        <f>+C75*F75</f>
        <v>49000</v>
      </c>
      <c r="H75" s="529"/>
    </row>
    <row r="76" spans="1:8">
      <c r="A76" s="522"/>
      <c r="B76" s="523"/>
      <c r="C76" s="524"/>
      <c r="D76" s="525"/>
      <c r="E76" s="526"/>
      <c r="F76" s="527"/>
      <c r="G76" s="528"/>
      <c r="H76" s="529"/>
    </row>
    <row r="77" spans="1:8" ht="15.75" thickBot="1">
      <c r="A77" s="530"/>
      <c r="B77" s="531"/>
      <c r="C77" s="532"/>
      <c r="D77" s="533"/>
      <c r="E77" s="534"/>
      <c r="F77" s="535"/>
      <c r="G77" s="532"/>
      <c r="H77" s="529"/>
    </row>
    <row r="78" spans="1:8" ht="15.75" thickBot="1">
      <c r="A78" s="510"/>
      <c r="B78" s="510"/>
      <c r="C78" s="510"/>
      <c r="D78" s="510"/>
      <c r="E78" s="510"/>
      <c r="F78" s="510"/>
      <c r="G78" s="536" t="s">
        <v>86</v>
      </c>
      <c r="H78" s="537">
        <f>SUM(G75:G77)</f>
        <v>49000</v>
      </c>
    </row>
    <row r="79" spans="1:8" ht="15.75" thickBot="1">
      <c r="A79" s="450" t="s">
        <v>96</v>
      </c>
      <c r="B79" s="450"/>
      <c r="C79" s="436"/>
      <c r="D79" s="436"/>
      <c r="E79" s="436"/>
      <c r="F79" s="436"/>
      <c r="G79" s="436"/>
      <c r="H79" s="436"/>
    </row>
    <row r="80" spans="1:8">
      <c r="A80" s="476" t="s">
        <v>97</v>
      </c>
      <c r="B80" s="438"/>
      <c r="C80" s="438" t="s">
        <v>98</v>
      </c>
      <c r="D80" s="438" t="s">
        <v>99</v>
      </c>
      <c r="E80" s="442" t="s">
        <v>100</v>
      </c>
      <c r="F80" s="443" t="s">
        <v>83</v>
      </c>
      <c r="G80" s="444" t="s">
        <v>84</v>
      </c>
      <c r="H80" s="477"/>
    </row>
    <row r="81" spans="1:8">
      <c r="A81" s="478" t="s">
        <v>227</v>
      </c>
      <c r="B81" s="468"/>
      <c r="C81" s="479">
        <f>PERSONAL!$E$31</f>
        <v>48800</v>
      </c>
      <c r="D81" s="480">
        <f>PERSONAL!$F$31</f>
        <v>1.7431000000000001</v>
      </c>
      <c r="E81" s="440">
        <f>+D81*C81</f>
        <v>85063.28</v>
      </c>
      <c r="F81" s="686">
        <v>3.5</v>
      </c>
      <c r="G81" s="445">
        <f>ROUND(E81/F81,0)</f>
        <v>24304</v>
      </c>
      <c r="H81" s="451"/>
    </row>
    <row r="82" spans="1:8">
      <c r="A82" s="478" t="s">
        <v>101</v>
      </c>
      <c r="B82" s="467"/>
      <c r="C82" s="479">
        <f>PERSONAL!$E$32</f>
        <v>87200</v>
      </c>
      <c r="D82" s="480">
        <f>PERSONAL!$F$31</f>
        <v>1.7431000000000001</v>
      </c>
      <c r="E82" s="440">
        <f>+D82*C82</f>
        <v>151998.32</v>
      </c>
      <c r="F82" s="686">
        <f>+F81</f>
        <v>3.5</v>
      </c>
      <c r="G82" s="445">
        <f>ROUND(E82/F82,0)</f>
        <v>43428</v>
      </c>
      <c r="H82" s="451"/>
    </row>
    <row r="83" spans="1:8">
      <c r="A83" s="478"/>
      <c r="B83" s="468"/>
      <c r="C83" s="430"/>
      <c r="D83" s="459"/>
      <c r="E83" s="430"/>
      <c r="F83" s="440"/>
      <c r="G83" s="445"/>
      <c r="H83" s="451"/>
    </row>
    <row r="84" spans="1:8">
      <c r="A84" s="478"/>
      <c r="B84" s="468"/>
      <c r="C84" s="430"/>
      <c r="D84" s="459"/>
      <c r="E84" s="430"/>
      <c r="F84" s="440"/>
      <c r="G84" s="445"/>
      <c r="H84" s="451"/>
    </row>
    <row r="85" spans="1:8" ht="15.75" thickBot="1">
      <c r="A85" s="481"/>
      <c r="B85" s="474"/>
      <c r="C85" s="474"/>
      <c r="D85" s="474"/>
      <c r="E85" s="474"/>
      <c r="F85" s="474"/>
      <c r="G85" s="482"/>
      <c r="H85" s="482"/>
    </row>
    <row r="86" spans="1:8" ht="15.75" thickBot="1">
      <c r="A86" s="436"/>
      <c r="B86" s="436"/>
      <c r="C86" s="436"/>
      <c r="D86" s="436"/>
      <c r="E86" s="436"/>
      <c r="F86" s="436"/>
      <c r="G86" s="437" t="s">
        <v>86</v>
      </c>
      <c r="H86" s="466">
        <f>SUM(G81:G85)</f>
        <v>67732</v>
      </c>
    </row>
    <row r="87" spans="1:8" ht="15.75" thickBot="1">
      <c r="A87" s="436"/>
      <c r="B87" s="436"/>
      <c r="C87" s="436"/>
      <c r="D87" s="436"/>
      <c r="E87" s="436"/>
      <c r="F87" s="436"/>
      <c r="G87" s="483"/>
      <c r="H87" s="436"/>
    </row>
    <row r="88" spans="1:8" ht="15.75" thickBot="1">
      <c r="A88" s="436"/>
      <c r="B88" s="436"/>
      <c r="C88" s="436"/>
      <c r="D88" s="436"/>
      <c r="E88" s="484" t="s">
        <v>102</v>
      </c>
      <c r="F88" s="485"/>
      <c r="G88" s="485"/>
      <c r="H88" s="466">
        <f>H63+H72+H78+H86</f>
        <v>285019</v>
      </c>
    </row>
    <row r="89" spans="1:8" ht="15.75" thickBot="1">
      <c r="A89" s="450" t="s">
        <v>103</v>
      </c>
      <c r="B89" s="450"/>
      <c r="C89" s="436"/>
      <c r="D89" s="436"/>
      <c r="E89" s="436"/>
      <c r="F89" s="436"/>
      <c r="G89" s="436"/>
      <c r="H89" s="436"/>
    </row>
    <row r="90" spans="1:8">
      <c r="A90" s="487" t="s">
        <v>80</v>
      </c>
      <c r="B90" s="488"/>
      <c r="C90" s="488"/>
      <c r="D90" s="488"/>
      <c r="E90" s="489"/>
      <c r="F90" s="490" t="s">
        <v>104</v>
      </c>
      <c r="G90" s="491" t="s">
        <v>105</v>
      </c>
      <c r="H90" s="457"/>
    </row>
    <row r="91" spans="1:8">
      <c r="A91" s="469" t="s">
        <v>106</v>
      </c>
      <c r="B91" s="467"/>
      <c r="C91" s="467"/>
      <c r="D91" s="467"/>
      <c r="E91" s="468"/>
      <c r="F91" s="492">
        <f>PRESUPUESTO!$E$222</f>
        <v>0.109</v>
      </c>
      <c r="G91" s="493">
        <f>+F91*H88</f>
        <v>31067.071</v>
      </c>
      <c r="H91" s="460"/>
    </row>
    <row r="92" spans="1:8" ht="15" customHeight="1" thickBot="1">
      <c r="A92" s="472" t="s">
        <v>108</v>
      </c>
      <c r="B92" s="473"/>
      <c r="C92" s="473"/>
      <c r="D92" s="473"/>
      <c r="E92" s="474"/>
      <c r="F92" s="494">
        <f>PRESUPUESTO!$E$223</f>
        <v>0.05</v>
      </c>
      <c r="G92" s="495">
        <f>+F92*H88</f>
        <v>14250.95</v>
      </c>
      <c r="H92" s="465"/>
    </row>
    <row r="93" spans="1:8" ht="15.75" thickBot="1">
      <c r="A93" s="436"/>
      <c r="B93" s="436"/>
      <c r="C93" s="436"/>
      <c r="D93" s="436"/>
      <c r="E93" s="436"/>
      <c r="F93" s="436"/>
      <c r="G93" s="437" t="s">
        <v>86</v>
      </c>
      <c r="H93" s="496">
        <f>SUM(G91:G92)</f>
        <v>45318.021000000001</v>
      </c>
    </row>
    <row r="94" spans="1:8" ht="15.75" thickBot="1">
      <c r="A94" s="436"/>
      <c r="B94" s="436"/>
      <c r="C94" s="436"/>
      <c r="D94" s="436"/>
      <c r="E94" s="436"/>
      <c r="F94" s="436"/>
      <c r="G94" s="436"/>
      <c r="H94" s="436"/>
    </row>
    <row r="95" spans="1:8" ht="15.75" thickBot="1">
      <c r="A95" s="446"/>
      <c r="B95" s="446"/>
      <c r="C95" s="436"/>
      <c r="D95" s="484" t="s">
        <v>109</v>
      </c>
      <c r="E95" s="485"/>
      <c r="F95" s="485"/>
      <c r="G95" s="485"/>
      <c r="H95" s="466">
        <f>ROUND((H88+H93),0)</f>
        <v>330337</v>
      </c>
    </row>
    <row r="96" spans="1:8">
      <c r="A96" s="455" t="s">
        <v>559</v>
      </c>
      <c r="B96" s="456"/>
      <c r="C96" s="436"/>
      <c r="D96" s="446"/>
      <c r="E96" s="456"/>
      <c r="F96" s="446"/>
      <c r="G96" s="456" t="s">
        <v>577</v>
      </c>
      <c r="H96" s="436"/>
    </row>
    <row r="97" spans="1:8">
      <c r="A97" s="455" t="s">
        <v>560</v>
      </c>
      <c r="B97" s="456"/>
      <c r="C97" s="436"/>
      <c r="D97" s="456"/>
      <c r="E97" s="456"/>
      <c r="F97" s="456"/>
      <c r="G97" s="456" t="s">
        <v>272</v>
      </c>
      <c r="H97" s="436"/>
    </row>
    <row r="98" spans="1:8">
      <c r="A98" s="456"/>
      <c r="B98" s="456"/>
      <c r="C98" s="436"/>
      <c r="D98" s="456"/>
      <c r="E98" s="456"/>
      <c r="F98" s="456"/>
      <c r="G98" s="456"/>
      <c r="H98" s="436"/>
    </row>
    <row r="99" spans="1:8" ht="15.75" thickBot="1">
      <c r="A99" s="450" t="s">
        <v>79</v>
      </c>
      <c r="B99" s="450"/>
      <c r="C99" s="436"/>
      <c r="D99" s="436"/>
      <c r="E99" s="436"/>
      <c r="F99" s="436"/>
      <c r="G99" s="436"/>
      <c r="H99" s="436"/>
    </row>
    <row r="100" spans="1:8">
      <c r="A100" s="1345" t="s">
        <v>80</v>
      </c>
      <c r="B100" s="1346"/>
      <c r="C100" s="1347"/>
      <c r="D100" s="438" t="s">
        <v>81</v>
      </c>
      <c r="E100" s="438" t="s">
        <v>82</v>
      </c>
      <c r="F100" s="438" t="s">
        <v>83</v>
      </c>
      <c r="G100" s="439" t="s">
        <v>84</v>
      </c>
      <c r="H100" s="457"/>
    </row>
    <row r="101" spans="1:8">
      <c r="A101" s="1357" t="s">
        <v>85</v>
      </c>
      <c r="B101" s="1358"/>
      <c r="C101" s="1359"/>
      <c r="D101" s="459"/>
      <c r="E101" s="440"/>
      <c r="F101" s="440"/>
      <c r="G101" s="432">
        <f>ROUND(H126*0.05,0)</f>
        <v>494</v>
      </c>
      <c r="H101" s="460"/>
    </row>
    <row r="102" spans="1:8">
      <c r="A102" s="1357"/>
      <c r="B102" s="1358"/>
      <c r="C102" s="1359"/>
      <c r="D102" s="461"/>
      <c r="E102" s="462"/>
      <c r="F102" s="497"/>
      <c r="G102" s="432">
        <f>E102*F102</f>
        <v>0</v>
      </c>
      <c r="H102" s="460"/>
    </row>
    <row r="103" spans="1:8" ht="15.75" thickBot="1">
      <c r="A103" s="1342"/>
      <c r="B103" s="1343"/>
      <c r="C103" s="1344"/>
      <c r="D103" s="464"/>
      <c r="E103" s="433"/>
      <c r="F103" s="434"/>
      <c r="G103" s="441">
        <f>E103*F103</f>
        <v>0</v>
      </c>
      <c r="H103" s="465"/>
    </row>
    <row r="104" spans="1:8" ht="15.75" thickBot="1">
      <c r="A104" s="436"/>
      <c r="B104" s="436"/>
      <c r="C104" s="436"/>
      <c r="D104" s="436"/>
      <c r="E104" s="436"/>
      <c r="F104" s="436"/>
      <c r="G104" s="437" t="s">
        <v>86</v>
      </c>
      <c r="H104" s="466">
        <f>SUM(G101:G103)</f>
        <v>494</v>
      </c>
    </row>
    <row r="105" spans="1:8" ht="15.75" thickBot="1">
      <c r="A105" s="450" t="s">
        <v>87</v>
      </c>
      <c r="B105" s="450"/>
      <c r="C105" s="436"/>
      <c r="D105" s="436"/>
      <c r="E105" s="436"/>
      <c r="F105" s="436"/>
      <c r="G105" s="436"/>
      <c r="H105" s="436"/>
    </row>
    <row r="106" spans="1:8">
      <c r="A106" s="1345" t="s">
        <v>80</v>
      </c>
      <c r="B106" s="1346"/>
      <c r="C106" s="1347"/>
      <c r="D106" s="438" t="s">
        <v>88</v>
      </c>
      <c r="E106" s="438" t="s">
        <v>89</v>
      </c>
      <c r="F106" s="438" t="s">
        <v>90</v>
      </c>
      <c r="G106" s="439" t="s">
        <v>84</v>
      </c>
      <c r="H106" s="457"/>
    </row>
    <row r="107" spans="1:8">
      <c r="A107" s="458" t="s">
        <v>771</v>
      </c>
      <c r="B107" s="467"/>
      <c r="C107" s="468"/>
      <c r="D107" s="459" t="s">
        <v>271</v>
      </c>
      <c r="E107" s="430">
        <f>291900/100</f>
        <v>2919</v>
      </c>
      <c r="F107" s="440">
        <v>2</v>
      </c>
      <c r="G107" s="432">
        <f>E107*F107</f>
        <v>5838</v>
      </c>
      <c r="H107" s="460"/>
    </row>
    <row r="108" spans="1:8">
      <c r="A108" s="469" t="s">
        <v>561</v>
      </c>
      <c r="B108" s="467"/>
      <c r="C108" s="468"/>
      <c r="D108" s="459" t="s">
        <v>545</v>
      </c>
      <c r="E108" s="470">
        <f>7350*1.19</f>
        <v>8746.5</v>
      </c>
      <c r="F108" s="440">
        <f>1/1.5</f>
        <v>0.66666666666666663</v>
      </c>
      <c r="G108" s="432">
        <f>F108*E108</f>
        <v>5831</v>
      </c>
      <c r="H108" s="460"/>
    </row>
    <row r="109" spans="1:8">
      <c r="A109" s="469" t="s">
        <v>562</v>
      </c>
      <c r="B109" s="467"/>
      <c r="C109" s="471"/>
      <c r="D109" s="459" t="s">
        <v>271</v>
      </c>
      <c r="E109" s="470">
        <v>500</v>
      </c>
      <c r="F109" s="440">
        <v>1</v>
      </c>
      <c r="G109" s="432">
        <f>F109*E109</f>
        <v>500</v>
      </c>
      <c r="H109" s="460"/>
    </row>
    <row r="110" spans="1:8">
      <c r="A110" s="469" t="s">
        <v>93</v>
      </c>
      <c r="B110" s="467"/>
      <c r="C110" s="471">
        <v>0.05</v>
      </c>
      <c r="D110" s="459"/>
      <c r="E110" s="430"/>
      <c r="F110" s="431"/>
      <c r="G110" s="432">
        <f>SUM(G107:G109)*C110</f>
        <v>608.45000000000005</v>
      </c>
      <c r="H110" s="460"/>
    </row>
    <row r="111" spans="1:8">
      <c r="A111" s="458" t="s">
        <v>531</v>
      </c>
      <c r="B111" s="467"/>
      <c r="C111" s="468"/>
      <c r="D111" s="459" t="s">
        <v>91</v>
      </c>
      <c r="E111" s="674">
        <f>APA!$H$176</f>
        <v>561165.64333333331</v>
      </c>
      <c r="F111" s="440">
        <f>(PI()*0.2^2/4*0.4)*1.05</f>
        <v>1.3194689145077135E-2</v>
      </c>
      <c r="G111" s="432">
        <f>F111*E111</f>
        <v>7404.4062226805599</v>
      </c>
      <c r="H111" s="460"/>
    </row>
    <row r="112" spans="1:8" ht="15.75" thickBot="1">
      <c r="A112" s="472"/>
      <c r="B112" s="473"/>
      <c r="C112" s="474"/>
      <c r="D112" s="464"/>
      <c r="E112" s="433"/>
      <c r="F112" s="434"/>
      <c r="G112" s="435"/>
      <c r="H112" s="465"/>
    </row>
    <row r="113" spans="1:8" ht="15.75" thickBot="1">
      <c r="A113" s="436"/>
      <c r="B113" s="436"/>
      <c r="C113" s="436"/>
      <c r="D113" s="436"/>
      <c r="E113" s="436"/>
      <c r="F113" s="436"/>
      <c r="G113" s="437" t="s">
        <v>86</v>
      </c>
      <c r="H113" s="466">
        <f>SUM(G107:G112)</f>
        <v>20181.856222680559</v>
      </c>
    </row>
    <row r="114" spans="1:8" ht="15.75" thickBot="1">
      <c r="A114" s="450" t="s">
        <v>94</v>
      </c>
      <c r="B114" s="450"/>
      <c r="C114" s="436"/>
      <c r="D114" s="436"/>
      <c r="E114" s="436"/>
      <c r="F114" s="436"/>
      <c r="G114" s="436"/>
      <c r="H114" s="436"/>
    </row>
    <row r="115" spans="1:8">
      <c r="A115" s="1345" t="s">
        <v>95</v>
      </c>
      <c r="B115" s="1346"/>
      <c r="C115" s="1347"/>
      <c r="D115" s="438" t="s">
        <v>88</v>
      </c>
      <c r="E115" s="438" t="s">
        <v>89</v>
      </c>
      <c r="F115" s="438" t="s">
        <v>90</v>
      </c>
      <c r="G115" s="439" t="s">
        <v>84</v>
      </c>
      <c r="H115" s="457"/>
    </row>
    <row r="116" spans="1:8">
      <c r="A116" s="458" t="s">
        <v>235</v>
      </c>
      <c r="B116" s="467"/>
      <c r="C116" s="468"/>
      <c r="D116" s="459" t="s">
        <v>271</v>
      </c>
      <c r="E116" s="430">
        <v>2500</v>
      </c>
      <c r="F116" s="440">
        <v>1</v>
      </c>
      <c r="G116" s="432">
        <f>E116*F116</f>
        <v>2500</v>
      </c>
      <c r="H116" s="460"/>
    </row>
    <row r="117" spans="1:8" ht="15.75" thickBot="1">
      <c r="A117" s="1342"/>
      <c r="B117" s="1343"/>
      <c r="C117" s="1344"/>
      <c r="D117" s="475"/>
      <c r="E117" s="433"/>
      <c r="F117" s="434"/>
      <c r="G117" s="441"/>
      <c r="H117" s="460"/>
    </row>
    <row r="118" spans="1:8" ht="15.75" thickBot="1">
      <c r="A118" s="436"/>
      <c r="B118" s="436"/>
      <c r="C118" s="436"/>
      <c r="D118" s="436"/>
      <c r="E118" s="436"/>
      <c r="F118" s="436"/>
      <c r="G118" s="437" t="s">
        <v>86</v>
      </c>
      <c r="H118" s="466">
        <f>SUM(G116:G117)</f>
        <v>2500</v>
      </c>
    </row>
    <row r="119" spans="1:8" ht="15.75" thickBot="1">
      <c r="A119" s="450" t="s">
        <v>96</v>
      </c>
      <c r="B119" s="450"/>
      <c r="C119" s="436"/>
      <c r="D119" s="436"/>
      <c r="E119" s="436"/>
      <c r="F119" s="436"/>
      <c r="G119" s="436"/>
      <c r="H119" s="436"/>
    </row>
    <row r="120" spans="1:8">
      <c r="A120" s="476" t="s">
        <v>97</v>
      </c>
      <c r="B120" s="438"/>
      <c r="C120" s="438" t="s">
        <v>98</v>
      </c>
      <c r="D120" s="438" t="s">
        <v>99</v>
      </c>
      <c r="E120" s="442" t="s">
        <v>100</v>
      </c>
      <c r="F120" s="443" t="s">
        <v>83</v>
      </c>
      <c r="G120" s="444" t="s">
        <v>84</v>
      </c>
      <c r="H120" s="477"/>
    </row>
    <row r="121" spans="1:8">
      <c r="A121" s="478" t="s">
        <v>227</v>
      </c>
      <c r="B121" s="468"/>
      <c r="C121" s="479">
        <f>PERSONAL!$E$31</f>
        <v>48800</v>
      </c>
      <c r="D121" s="480">
        <f>PERSONAL!$F$31</f>
        <v>1.7431000000000001</v>
      </c>
      <c r="E121" s="440">
        <f>+D121*C121</f>
        <v>85063.28</v>
      </c>
      <c r="F121" s="440">
        <v>24</v>
      </c>
      <c r="G121" s="445">
        <f>ROUND(E121/F121,0)</f>
        <v>3544</v>
      </c>
      <c r="H121" s="451"/>
    </row>
    <row r="122" spans="1:8">
      <c r="A122" s="478" t="s">
        <v>101</v>
      </c>
      <c r="B122" s="467"/>
      <c r="C122" s="479">
        <f>PERSONAL!$E$32</f>
        <v>87200</v>
      </c>
      <c r="D122" s="480">
        <f>PERSONAL!$F$31</f>
        <v>1.7431000000000001</v>
      </c>
      <c r="E122" s="440">
        <f>+D122*C122</f>
        <v>151998.32</v>
      </c>
      <c r="F122" s="440">
        <f>+F121</f>
        <v>24</v>
      </c>
      <c r="G122" s="445">
        <f>ROUND(E122/F122,0)</f>
        <v>6333</v>
      </c>
      <c r="H122" s="451"/>
    </row>
    <row r="123" spans="1:8">
      <c r="A123" s="478"/>
      <c r="B123" s="468"/>
      <c r="C123" s="430"/>
      <c r="D123" s="459"/>
      <c r="E123" s="430"/>
      <c r="F123" s="440"/>
      <c r="G123" s="445"/>
      <c r="H123" s="451"/>
    </row>
    <row r="124" spans="1:8">
      <c r="A124" s="478"/>
      <c r="B124" s="468"/>
      <c r="C124" s="430"/>
      <c r="D124" s="459"/>
      <c r="E124" s="430"/>
      <c r="F124" s="440"/>
      <c r="G124" s="445"/>
      <c r="H124" s="451"/>
    </row>
    <row r="125" spans="1:8" ht="15.75" thickBot="1">
      <c r="A125" s="481"/>
      <c r="B125" s="474"/>
      <c r="C125" s="474"/>
      <c r="D125" s="474"/>
      <c r="E125" s="474"/>
      <c r="F125" s="474"/>
      <c r="G125" s="482"/>
      <c r="H125" s="482"/>
    </row>
    <row r="126" spans="1:8" ht="15.75" thickBot="1">
      <c r="A126" s="436"/>
      <c r="B126" s="436"/>
      <c r="C126" s="436"/>
      <c r="D126" s="436"/>
      <c r="E126" s="436"/>
      <c r="F126" s="436"/>
      <c r="G126" s="437" t="s">
        <v>86</v>
      </c>
      <c r="H126" s="466">
        <f>SUM(G121:G125)</f>
        <v>9877</v>
      </c>
    </row>
    <row r="127" spans="1:8" ht="15.75" thickBot="1">
      <c r="A127" s="436"/>
      <c r="B127" s="436"/>
      <c r="C127" s="436"/>
      <c r="D127" s="436"/>
      <c r="E127" s="436"/>
      <c r="F127" s="436"/>
      <c r="G127" s="483"/>
      <c r="H127" s="436"/>
    </row>
    <row r="128" spans="1:8" ht="15.75" thickBot="1">
      <c r="A128" s="436"/>
      <c r="B128" s="436"/>
      <c r="C128" s="436"/>
      <c r="D128" s="436"/>
      <c r="E128" s="484" t="s">
        <v>102</v>
      </c>
      <c r="F128" s="485"/>
      <c r="G128" s="485"/>
      <c r="H128" s="466">
        <f>H104+H113+H118+H126</f>
        <v>33052.856222680559</v>
      </c>
    </row>
    <row r="129" spans="1:8" ht="15.75" thickBot="1">
      <c r="A129" s="450" t="s">
        <v>103</v>
      </c>
      <c r="B129" s="450"/>
      <c r="C129" s="436"/>
      <c r="D129" s="436"/>
      <c r="E129" s="436"/>
      <c r="F129" s="436"/>
      <c r="G129" s="436"/>
      <c r="H129" s="436"/>
    </row>
    <row r="130" spans="1:8">
      <c r="A130" s="487" t="s">
        <v>80</v>
      </c>
      <c r="B130" s="488"/>
      <c r="C130" s="488"/>
      <c r="D130" s="488"/>
      <c r="E130" s="489"/>
      <c r="F130" s="490" t="s">
        <v>104</v>
      </c>
      <c r="G130" s="491" t="s">
        <v>105</v>
      </c>
      <c r="H130" s="457"/>
    </row>
    <row r="131" spans="1:8">
      <c r="A131" s="469" t="s">
        <v>106</v>
      </c>
      <c r="B131" s="467"/>
      <c r="C131" s="467"/>
      <c r="D131" s="467"/>
      <c r="E131" s="468"/>
      <c r="F131" s="492">
        <f>PRESUPUESTO!$E$222</f>
        <v>0.109</v>
      </c>
      <c r="G131" s="493">
        <f>+F131*H128</f>
        <v>3602.7613282721809</v>
      </c>
      <c r="H131" s="460"/>
    </row>
    <row r="132" spans="1:8" ht="15.75" thickBot="1">
      <c r="A132" s="472" t="s">
        <v>108</v>
      </c>
      <c r="B132" s="473"/>
      <c r="C132" s="473"/>
      <c r="D132" s="473"/>
      <c r="E132" s="474"/>
      <c r="F132" s="494">
        <f>PRESUPUESTO!$E$223</f>
        <v>0.05</v>
      </c>
      <c r="G132" s="495">
        <f>+F132*H128</f>
        <v>1652.6428111340281</v>
      </c>
      <c r="H132" s="465"/>
    </row>
    <row r="133" spans="1:8" ht="15.75" thickBot="1">
      <c r="A133" s="436"/>
      <c r="B133" s="436"/>
      <c r="C133" s="436"/>
      <c r="D133" s="436"/>
      <c r="E133" s="436"/>
      <c r="F133" s="436"/>
      <c r="G133" s="437" t="s">
        <v>86</v>
      </c>
      <c r="H133" s="496">
        <f>SUM(G131:G132)</f>
        <v>5255.4041394062087</v>
      </c>
    </row>
    <row r="134" spans="1:8" ht="15.75" thickBot="1">
      <c r="A134" s="436"/>
      <c r="B134" s="436"/>
      <c r="C134" s="436"/>
      <c r="D134" s="436"/>
      <c r="E134" s="436"/>
      <c r="F134" s="436"/>
      <c r="G134" s="436"/>
      <c r="H134" s="436"/>
    </row>
    <row r="135" spans="1:8" ht="15.75" thickBot="1">
      <c r="A135" s="446"/>
      <c r="B135" s="446"/>
      <c r="C135" s="436"/>
      <c r="D135" s="484" t="s">
        <v>109</v>
      </c>
      <c r="E135" s="485"/>
      <c r="F135" s="485"/>
      <c r="G135" s="485"/>
      <c r="H135" s="466">
        <f>ROUND((H128+H133),0)</f>
        <v>38308</v>
      </c>
    </row>
    <row r="137" spans="1:8">
      <c r="A137" s="186" t="s">
        <v>77</v>
      </c>
      <c r="B137" s="446"/>
      <c r="C137" s="446"/>
      <c r="D137" s="446"/>
      <c r="E137" s="446"/>
      <c r="F137" s="446"/>
      <c r="G137" s="446"/>
      <c r="H137" s="446"/>
    </row>
    <row r="138" spans="1:8" ht="15.75" thickBot="1">
      <c r="A138" s="446"/>
      <c r="B138" s="446"/>
      <c r="C138" s="446"/>
      <c r="D138" s="446"/>
      <c r="E138" s="446"/>
      <c r="F138" s="446"/>
      <c r="G138" s="446"/>
      <c r="H138" s="446"/>
    </row>
    <row r="139" spans="1:8">
      <c r="A139" s="1348" t="s">
        <v>213</v>
      </c>
      <c r="B139" s="1349"/>
      <c r="C139" s="1350"/>
      <c r="D139" s="448"/>
      <c r="E139" s="448"/>
      <c r="F139" s="448"/>
      <c r="G139" s="448"/>
      <c r="H139" s="449"/>
    </row>
    <row r="140" spans="1:8">
      <c r="A140" s="1351"/>
      <c r="B140" s="1352"/>
      <c r="C140" s="1353"/>
      <c r="D140" s="436"/>
      <c r="E140" s="450" t="s">
        <v>78</v>
      </c>
      <c r="F140" s="436"/>
      <c r="G140" s="436"/>
      <c r="H140" s="451"/>
    </row>
    <row r="141" spans="1:8" ht="15.75" thickBot="1">
      <c r="A141" s="1354"/>
      <c r="B141" s="1355"/>
      <c r="C141" s="1356"/>
      <c r="D141" s="1360"/>
      <c r="E141" s="1361"/>
      <c r="F141" s="1361"/>
      <c r="G141" s="1361"/>
      <c r="H141" s="1362"/>
    </row>
    <row r="142" spans="1:8">
      <c r="A142" s="455"/>
      <c r="B142" s="436"/>
      <c r="C142" s="436"/>
      <c r="D142" s="436"/>
      <c r="E142" s="436"/>
      <c r="F142" s="436"/>
      <c r="G142" s="436"/>
      <c r="H142" s="436"/>
    </row>
    <row r="143" spans="1:8">
      <c r="A143" s="455" t="s">
        <v>559</v>
      </c>
      <c r="B143" s="456"/>
      <c r="C143" s="436"/>
      <c r="D143" s="446"/>
      <c r="E143" s="456"/>
      <c r="F143" s="446"/>
      <c r="G143" s="456" t="s">
        <v>578</v>
      </c>
      <c r="H143" s="436"/>
    </row>
    <row r="144" spans="1:8">
      <c r="A144" s="455" t="s">
        <v>591</v>
      </c>
      <c r="B144" s="456"/>
      <c r="C144" s="436"/>
      <c r="D144" s="456"/>
      <c r="E144" s="456"/>
      <c r="F144" s="456"/>
      <c r="G144" s="456" t="s">
        <v>272</v>
      </c>
      <c r="H144" s="436"/>
    </row>
    <row r="145" spans="1:8">
      <c r="A145" s="456"/>
      <c r="B145" s="456"/>
      <c r="C145" s="436"/>
      <c r="D145" s="456"/>
      <c r="E145" s="456"/>
      <c r="F145" s="456"/>
      <c r="G145" s="456"/>
      <c r="H145" s="436"/>
    </row>
    <row r="146" spans="1:8" ht="15.75" thickBot="1">
      <c r="A146" s="450" t="s">
        <v>79</v>
      </c>
      <c r="B146" s="450"/>
      <c r="C146" s="436"/>
      <c r="D146" s="436"/>
      <c r="E146" s="436"/>
      <c r="F146" s="436"/>
      <c r="G146" s="436"/>
      <c r="H146" s="436"/>
    </row>
    <row r="147" spans="1:8">
      <c r="A147" s="1345" t="s">
        <v>80</v>
      </c>
      <c r="B147" s="1346"/>
      <c r="C147" s="1347"/>
      <c r="D147" s="438" t="s">
        <v>81</v>
      </c>
      <c r="E147" s="438" t="s">
        <v>82</v>
      </c>
      <c r="F147" s="438" t="s">
        <v>83</v>
      </c>
      <c r="G147" s="439" t="s">
        <v>84</v>
      </c>
      <c r="H147" s="457"/>
    </row>
    <row r="148" spans="1:8">
      <c r="A148" s="1357" t="s">
        <v>85</v>
      </c>
      <c r="B148" s="1358"/>
      <c r="C148" s="1359"/>
      <c r="D148" s="459"/>
      <c r="E148" s="440"/>
      <c r="F148" s="440"/>
      <c r="G148" s="432">
        <f>ROUND(H173*0.05,0)</f>
        <v>17648</v>
      </c>
      <c r="H148" s="460"/>
    </row>
    <row r="149" spans="1:8">
      <c r="A149" s="1357" t="s">
        <v>565</v>
      </c>
      <c r="B149" s="1358"/>
      <c r="C149" s="1359"/>
      <c r="D149" s="461" t="s">
        <v>263</v>
      </c>
      <c r="E149" s="462">
        <v>200000</v>
      </c>
      <c r="F149" s="497">
        <v>1</v>
      </c>
      <c r="G149" s="432">
        <f>E149*F149</f>
        <v>200000</v>
      </c>
      <c r="H149" s="460"/>
    </row>
    <row r="150" spans="1:8" ht="15.75" thickBot="1">
      <c r="A150" s="1342"/>
      <c r="B150" s="1343"/>
      <c r="C150" s="1344"/>
      <c r="D150" s="464"/>
      <c r="E150" s="433"/>
      <c r="F150" s="434"/>
      <c r="G150" s="441">
        <f>E150*F150</f>
        <v>0</v>
      </c>
      <c r="H150" s="465"/>
    </row>
    <row r="151" spans="1:8" ht="15.75" thickBot="1">
      <c r="A151" s="436"/>
      <c r="B151" s="436"/>
      <c r="C151" s="436"/>
      <c r="D151" s="436"/>
      <c r="E151" s="436"/>
      <c r="F151" s="436"/>
      <c r="G151" s="437" t="s">
        <v>86</v>
      </c>
      <c r="H151" s="466">
        <f>SUM(G148:G150)</f>
        <v>217648</v>
      </c>
    </row>
    <row r="152" spans="1:8" ht="15.75" thickBot="1">
      <c r="A152" s="450" t="s">
        <v>87</v>
      </c>
      <c r="B152" s="450"/>
      <c r="C152" s="436"/>
      <c r="D152" s="436"/>
      <c r="E152" s="436"/>
      <c r="F152" s="436"/>
      <c r="G152" s="436"/>
      <c r="H152" s="436"/>
    </row>
    <row r="153" spans="1:8">
      <c r="A153" s="1345" t="s">
        <v>80</v>
      </c>
      <c r="B153" s="1346"/>
      <c r="C153" s="1347"/>
      <c r="D153" s="438" t="s">
        <v>88</v>
      </c>
      <c r="E153" s="438" t="s">
        <v>89</v>
      </c>
      <c r="F153" s="438" t="s">
        <v>90</v>
      </c>
      <c r="G153" s="439" t="s">
        <v>84</v>
      </c>
      <c r="H153" s="457"/>
    </row>
    <row r="154" spans="1:8">
      <c r="A154" s="458" t="s">
        <v>563</v>
      </c>
      <c r="B154" s="467"/>
      <c r="C154" s="468"/>
      <c r="D154" s="459" t="s">
        <v>566</v>
      </c>
      <c r="E154" s="430">
        <v>70000</v>
      </c>
      <c r="F154" s="440">
        <v>0.25</v>
      </c>
      <c r="G154" s="432">
        <f>E154*F154</f>
        <v>17500</v>
      </c>
      <c r="H154" s="460"/>
    </row>
    <row r="155" spans="1:8">
      <c r="A155" s="469" t="s">
        <v>564</v>
      </c>
      <c r="B155" s="467"/>
      <c r="C155" s="468"/>
      <c r="D155" s="459" t="s">
        <v>268</v>
      </c>
      <c r="E155" s="470">
        <v>15000</v>
      </c>
      <c r="F155" s="440">
        <v>1.5</v>
      </c>
      <c r="G155" s="432">
        <f>F155*E155</f>
        <v>22500</v>
      </c>
      <c r="H155" s="460"/>
    </row>
    <row r="156" spans="1:8">
      <c r="A156" s="469" t="s">
        <v>562</v>
      </c>
      <c r="B156" s="467"/>
      <c r="C156" s="471"/>
      <c r="D156" s="459" t="s">
        <v>268</v>
      </c>
      <c r="E156" s="470">
        <v>75</v>
      </c>
      <c r="F156" s="440">
        <v>30</v>
      </c>
      <c r="G156" s="432">
        <f>F156*E156</f>
        <v>2250</v>
      </c>
      <c r="H156" s="460"/>
    </row>
    <row r="157" spans="1:8">
      <c r="A157" s="469" t="s">
        <v>93</v>
      </c>
      <c r="B157" s="467"/>
      <c r="C157" s="471">
        <v>0.05</v>
      </c>
      <c r="D157" s="459"/>
      <c r="E157" s="430"/>
      <c r="F157" s="431"/>
      <c r="G157" s="432">
        <f>SUM(G154:G156)*C157</f>
        <v>2112.5</v>
      </c>
      <c r="H157" s="460"/>
    </row>
    <row r="158" spans="1:8">
      <c r="A158" s="469"/>
      <c r="B158" s="467"/>
      <c r="C158" s="468"/>
      <c r="D158" s="459"/>
      <c r="E158" s="430"/>
      <c r="F158" s="431"/>
      <c r="G158" s="432"/>
      <c r="H158" s="460"/>
    </row>
    <row r="159" spans="1:8" ht="15.75" thickBot="1">
      <c r="A159" s="472"/>
      <c r="B159" s="473"/>
      <c r="C159" s="474"/>
      <c r="D159" s="464"/>
      <c r="E159" s="433"/>
      <c r="F159" s="434"/>
      <c r="G159" s="435"/>
      <c r="H159" s="465"/>
    </row>
    <row r="160" spans="1:8" ht="15.75" thickBot="1">
      <c r="A160" s="436"/>
      <c r="B160" s="436"/>
      <c r="C160" s="436"/>
      <c r="D160" s="436"/>
      <c r="E160" s="436"/>
      <c r="F160" s="436"/>
      <c r="G160" s="437" t="s">
        <v>86</v>
      </c>
      <c r="H160" s="466">
        <f>SUM(G154:G159)</f>
        <v>44362.5</v>
      </c>
    </row>
    <row r="161" spans="1:9" ht="15.75" thickBot="1">
      <c r="A161" s="450" t="s">
        <v>94</v>
      </c>
      <c r="B161" s="450"/>
      <c r="C161" s="436"/>
      <c r="D161" s="436"/>
      <c r="E161" s="436"/>
      <c r="F161" s="436"/>
      <c r="G161" s="436"/>
      <c r="H161" s="436"/>
    </row>
    <row r="162" spans="1:9">
      <c r="A162" s="1345" t="s">
        <v>95</v>
      </c>
      <c r="B162" s="1346"/>
      <c r="C162" s="1347"/>
      <c r="D162" s="438" t="s">
        <v>88</v>
      </c>
      <c r="E162" s="438" t="s">
        <v>89</v>
      </c>
      <c r="F162" s="438" t="s">
        <v>90</v>
      </c>
      <c r="G162" s="439" t="s">
        <v>84</v>
      </c>
      <c r="H162" s="457"/>
    </row>
    <row r="163" spans="1:9">
      <c r="A163" s="458" t="s">
        <v>235</v>
      </c>
      <c r="B163" s="467"/>
      <c r="C163" s="468"/>
      <c r="D163" s="459" t="s">
        <v>271</v>
      </c>
      <c r="E163" s="430">
        <v>150000</v>
      </c>
      <c r="F163" s="440">
        <v>1</v>
      </c>
      <c r="G163" s="432">
        <f>E163*F163</f>
        <v>150000</v>
      </c>
      <c r="H163" s="460"/>
    </row>
    <row r="164" spans="1:9" ht="15.75" thickBot="1">
      <c r="A164" s="1342"/>
      <c r="B164" s="1343"/>
      <c r="C164" s="1344"/>
      <c r="D164" s="475"/>
      <c r="E164" s="433"/>
      <c r="F164" s="434"/>
      <c r="G164" s="441"/>
      <c r="H164" s="460"/>
    </row>
    <row r="165" spans="1:9" ht="15.75" thickBot="1">
      <c r="A165" s="436"/>
      <c r="B165" s="436"/>
      <c r="C165" s="436"/>
      <c r="D165" s="436"/>
      <c r="E165" s="436"/>
      <c r="F165" s="436"/>
      <c r="G165" s="437" t="s">
        <v>86</v>
      </c>
      <c r="H165" s="466">
        <f>SUM(G163:G164)</f>
        <v>150000</v>
      </c>
    </row>
    <row r="166" spans="1:9" ht="15.75" thickBot="1">
      <c r="A166" s="450" t="s">
        <v>96</v>
      </c>
      <c r="B166" s="450"/>
      <c r="C166" s="436"/>
      <c r="D166" s="436"/>
      <c r="E166" s="436"/>
      <c r="F166" s="436"/>
      <c r="G166" s="436"/>
      <c r="H166" s="436"/>
    </row>
    <row r="167" spans="1:9">
      <c r="A167" s="476" t="s">
        <v>97</v>
      </c>
      <c r="B167" s="438"/>
      <c r="C167" s="438" t="s">
        <v>98</v>
      </c>
      <c r="D167" s="438" t="s">
        <v>99</v>
      </c>
      <c r="E167" s="442" t="s">
        <v>100</v>
      </c>
      <c r="F167" s="443" t="s">
        <v>83</v>
      </c>
      <c r="G167" s="444" t="s">
        <v>84</v>
      </c>
      <c r="H167" s="477"/>
    </row>
    <row r="168" spans="1:9">
      <c r="A168" s="478" t="s">
        <v>227</v>
      </c>
      <c r="B168" s="468"/>
      <c r="C168" s="479">
        <f>PERSONAL!$E$31</f>
        <v>48800</v>
      </c>
      <c r="D168" s="480">
        <f>PERSONAL!$F$31</f>
        <v>1.7431000000000001</v>
      </c>
      <c r="E168" s="440">
        <f>+D168*C168</f>
        <v>85063.28</v>
      </c>
      <c r="F168" s="440">
        <v>0.67162999999999995</v>
      </c>
      <c r="G168" s="445">
        <f>ROUND(E168/F168,0)</f>
        <v>126652</v>
      </c>
      <c r="H168" s="451"/>
    </row>
    <row r="169" spans="1:9">
      <c r="A169" s="478" t="s">
        <v>101</v>
      </c>
      <c r="B169" s="467"/>
      <c r="C169" s="479">
        <f>PERSONAL!$E$32</f>
        <v>87200</v>
      </c>
      <c r="D169" s="480">
        <f>PERSONAL!$F$31</f>
        <v>1.7431000000000001</v>
      </c>
      <c r="E169" s="440">
        <f>+D169*C169</f>
        <v>151998.32</v>
      </c>
      <c r="F169" s="440">
        <f>+F168</f>
        <v>0.67162999999999995</v>
      </c>
      <c r="G169" s="445">
        <f>ROUND(E169/F169,0)</f>
        <v>226313</v>
      </c>
      <c r="H169" s="451"/>
    </row>
    <row r="170" spans="1:9">
      <c r="A170" s="478"/>
      <c r="B170" s="468"/>
      <c r="C170" s="430"/>
      <c r="D170" s="459"/>
      <c r="E170" s="430"/>
      <c r="F170" s="440"/>
      <c r="G170" s="445"/>
      <c r="H170" s="451"/>
    </row>
    <row r="171" spans="1:9">
      <c r="A171" s="478"/>
      <c r="B171" s="468"/>
      <c r="C171" s="430"/>
      <c r="D171" s="459"/>
      <c r="E171" s="430"/>
      <c r="F171" s="440"/>
      <c r="G171" s="445"/>
      <c r="H171" s="451"/>
    </row>
    <row r="172" spans="1:9" ht="15.75" thickBot="1">
      <c r="A172" s="481"/>
      <c r="B172" s="474"/>
      <c r="C172" s="474"/>
      <c r="D172" s="474"/>
      <c r="E172" s="474"/>
      <c r="F172" s="474"/>
      <c r="G172" s="482"/>
      <c r="H172" s="482"/>
    </row>
    <row r="173" spans="1:9" ht="15.75" thickBot="1">
      <c r="A173" s="436"/>
      <c r="B173" s="436"/>
      <c r="C173" s="436"/>
      <c r="D173" s="436"/>
      <c r="E173" s="436"/>
      <c r="F173" s="436"/>
      <c r="G173" s="437" t="s">
        <v>86</v>
      </c>
      <c r="H173" s="466">
        <f>SUM(G168:G172)</f>
        <v>352965</v>
      </c>
    </row>
    <row r="174" spans="1:9" ht="15.75" thickBot="1">
      <c r="A174" s="436"/>
      <c r="B174" s="436"/>
      <c r="C174" s="436"/>
      <c r="D174" s="436"/>
      <c r="E174" s="436"/>
      <c r="F174" s="436"/>
      <c r="G174" s="483"/>
      <c r="H174" s="436"/>
    </row>
    <row r="175" spans="1:9" ht="15.75" thickBot="1">
      <c r="A175" s="436"/>
      <c r="B175" s="436"/>
      <c r="C175" s="436"/>
      <c r="D175" s="436"/>
      <c r="E175" s="484" t="s">
        <v>102</v>
      </c>
      <c r="F175" s="485"/>
      <c r="G175" s="485"/>
      <c r="H175" s="466">
        <f>ROUND(H151+H160+H165+H173,0)-1</f>
        <v>764975</v>
      </c>
      <c r="I175" s="447"/>
    </row>
    <row r="176" spans="1:9" ht="15.75" thickBot="1">
      <c r="A176" s="450" t="s">
        <v>103</v>
      </c>
      <c r="B176" s="450"/>
      <c r="C176" s="436"/>
      <c r="D176" s="436"/>
      <c r="E176" s="436"/>
      <c r="F176" s="436"/>
      <c r="G176" s="436"/>
      <c r="H176" s="436"/>
    </row>
    <row r="177" spans="1:8">
      <c r="A177" s="487" t="s">
        <v>80</v>
      </c>
      <c r="B177" s="488"/>
      <c r="C177" s="488"/>
      <c r="D177" s="488"/>
      <c r="E177" s="489"/>
      <c r="F177" s="490" t="s">
        <v>104</v>
      </c>
      <c r="G177" s="491" t="s">
        <v>105</v>
      </c>
      <c r="H177" s="457"/>
    </row>
    <row r="178" spans="1:8">
      <c r="A178" s="469" t="s">
        <v>106</v>
      </c>
      <c r="B178" s="467"/>
      <c r="C178" s="467"/>
      <c r="D178" s="467"/>
      <c r="E178" s="468"/>
      <c r="F178" s="492">
        <f>PRESUPUESTO!$E$222</f>
        <v>0.109</v>
      </c>
      <c r="G178" s="493">
        <f>+F178*H175</f>
        <v>83382.274999999994</v>
      </c>
      <c r="H178" s="460"/>
    </row>
    <row r="179" spans="1:8" ht="15.75" thickBot="1">
      <c r="A179" s="472" t="s">
        <v>108</v>
      </c>
      <c r="B179" s="473"/>
      <c r="C179" s="473"/>
      <c r="D179" s="473"/>
      <c r="E179" s="474"/>
      <c r="F179" s="494">
        <f>PRESUPUESTO!$E$223</f>
        <v>0.05</v>
      </c>
      <c r="G179" s="495">
        <f>+F179*H175</f>
        <v>38248.75</v>
      </c>
      <c r="H179" s="465"/>
    </row>
    <row r="180" spans="1:8" ht="15.75" thickBot="1">
      <c r="A180" s="436"/>
      <c r="B180" s="436"/>
      <c r="C180" s="436"/>
      <c r="D180" s="436"/>
      <c r="E180" s="436"/>
      <c r="F180" s="436"/>
      <c r="G180" s="437" t="s">
        <v>86</v>
      </c>
      <c r="H180" s="496">
        <f>SUM(G178:G179)</f>
        <v>121631.02499999999</v>
      </c>
    </row>
    <row r="181" spans="1:8" ht="15.75" thickBot="1">
      <c r="A181" s="436"/>
      <c r="B181" s="436"/>
      <c r="C181" s="436"/>
      <c r="D181" s="436"/>
      <c r="E181" s="436"/>
      <c r="F181" s="436"/>
      <c r="G181" s="436"/>
      <c r="H181" s="436"/>
    </row>
    <row r="182" spans="1:8" ht="15.75" thickBot="1">
      <c r="A182" s="446"/>
      <c r="B182" s="446"/>
      <c r="C182" s="436"/>
      <c r="D182" s="484" t="s">
        <v>109</v>
      </c>
      <c r="E182" s="485"/>
      <c r="F182" s="485"/>
      <c r="G182" s="485"/>
      <c r="H182" s="466">
        <f>ROUND((H175+H180),0)</f>
        <v>886606</v>
      </c>
    </row>
  </sheetData>
  <mergeCells count="32">
    <mergeCell ref="A75:B75"/>
    <mergeCell ref="A65:C65"/>
    <mergeCell ref="D53:H53"/>
    <mergeCell ref="A59:C59"/>
    <mergeCell ref="A60:C60"/>
    <mergeCell ref="A61:C61"/>
    <mergeCell ref="A62:C62"/>
    <mergeCell ref="A14:C14"/>
    <mergeCell ref="A17:C17"/>
    <mergeCell ref="A51:C53"/>
    <mergeCell ref="A3:C5"/>
    <mergeCell ref="D5:H5"/>
    <mergeCell ref="A11:C11"/>
    <mergeCell ref="A12:C12"/>
    <mergeCell ref="A13:C13"/>
    <mergeCell ref="A27:B27"/>
    <mergeCell ref="D141:H141"/>
    <mergeCell ref="A147:C147"/>
    <mergeCell ref="A100:C100"/>
    <mergeCell ref="A101:C101"/>
    <mergeCell ref="A102:C102"/>
    <mergeCell ref="A103:C103"/>
    <mergeCell ref="A164:C164"/>
    <mergeCell ref="A106:C106"/>
    <mergeCell ref="A115:C115"/>
    <mergeCell ref="A117:C117"/>
    <mergeCell ref="A139:C141"/>
    <mergeCell ref="A148:C148"/>
    <mergeCell ref="A149:C149"/>
    <mergeCell ref="A150:C150"/>
    <mergeCell ref="A153:C153"/>
    <mergeCell ref="A162:C162"/>
  </mergeCells>
  <hyperlinks>
    <hyperlink ref="A137" r:id="rId1" location="PRESUPUESTO!A1" xr:uid="{0D39E73A-F6BE-49B4-9215-76CD71FB10F4}"/>
    <hyperlink ref="A1" r:id="rId2" location="PRESUPUESTO!A1" xr:uid="{8F64187A-1F44-4E2A-8AF7-6F3103B6E728}"/>
    <hyperlink ref="A49" r:id="rId3" location="PRESUPUESTO!A1" xr:uid="{3724675F-6255-4201-9245-0DA467F124AA}"/>
  </hyperlinks>
  <pageMargins left="0.7" right="0.7" top="0.75" bottom="0.75" header="0.3" footer="0.3"/>
  <pageSetup scale="92" orientation="portrait" r:id="rId4"/>
  <rowBreaks count="3" manualBreakCount="3">
    <brk id="47" max="7" man="1"/>
    <brk id="95" max="16383" man="1"/>
    <brk id="13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6E57A-1478-4CCA-9A23-D7F90A3430A6}">
  <dimension ref="A1:J286"/>
  <sheetViews>
    <sheetView view="pageBreakPreview" zoomScale="160" zoomScaleNormal="100" zoomScaleSheetLayoutView="160" workbookViewId="0">
      <selection activeCell="I175" sqref="I175"/>
    </sheetView>
  </sheetViews>
  <sheetFormatPr baseColWidth="10" defaultRowHeight="15"/>
  <sheetData>
    <row r="1" spans="1:8">
      <c r="A1" s="186" t="s">
        <v>77</v>
      </c>
      <c r="B1" s="446"/>
      <c r="C1" s="446"/>
      <c r="D1" s="446"/>
      <c r="E1" s="446"/>
      <c r="F1" s="446"/>
      <c r="G1" s="446"/>
      <c r="H1" s="446"/>
    </row>
    <row r="2" spans="1:8" ht="15.75" thickBot="1">
      <c r="A2" s="446"/>
      <c r="B2" s="446"/>
      <c r="C2" s="446"/>
      <c r="D2" s="446"/>
      <c r="E2" s="446"/>
      <c r="F2" s="446"/>
      <c r="G2" s="446"/>
      <c r="H2" s="446"/>
    </row>
    <row r="3" spans="1:8">
      <c r="A3" s="1348" t="s">
        <v>213</v>
      </c>
      <c r="B3" s="1349"/>
      <c r="C3" s="1350"/>
      <c r="D3" s="448"/>
      <c r="E3" s="448"/>
      <c r="F3" s="448"/>
      <c r="G3" s="448"/>
      <c r="H3" s="449"/>
    </row>
    <row r="4" spans="1:8">
      <c r="A4" s="1351"/>
      <c r="B4" s="1352"/>
      <c r="C4" s="1353"/>
      <c r="D4" s="436"/>
      <c r="E4" s="450" t="s">
        <v>78</v>
      </c>
      <c r="F4" s="436"/>
      <c r="G4" s="436"/>
      <c r="H4" s="451"/>
    </row>
    <row r="5" spans="1:8" ht="15.75" thickBot="1">
      <c r="A5" s="1354"/>
      <c r="B5" s="1355"/>
      <c r="C5" s="1356"/>
      <c r="D5" s="1360"/>
      <c r="E5" s="1361"/>
      <c r="F5" s="1361"/>
      <c r="G5" s="1361"/>
      <c r="H5" s="1362"/>
    </row>
    <row r="6" spans="1:8">
      <c r="A6" s="455"/>
      <c r="B6" s="436"/>
      <c r="C6" s="436"/>
      <c r="D6" s="436"/>
      <c r="E6" s="436"/>
      <c r="F6" s="436"/>
      <c r="G6" s="436"/>
      <c r="H6" s="436"/>
    </row>
    <row r="7" spans="1:8">
      <c r="A7" s="455" t="s">
        <v>620</v>
      </c>
      <c r="B7" s="456"/>
      <c r="C7" s="436"/>
      <c r="D7" s="446"/>
      <c r="E7" s="456"/>
      <c r="F7" s="446"/>
      <c r="G7" s="456" t="s">
        <v>619</v>
      </c>
      <c r="H7" s="436"/>
    </row>
    <row r="8" spans="1:8">
      <c r="A8" s="455" t="s">
        <v>621</v>
      </c>
      <c r="B8" s="456"/>
      <c r="C8" s="436"/>
      <c r="D8" s="456"/>
      <c r="E8" s="456"/>
      <c r="F8" s="456"/>
      <c r="G8" s="456" t="s">
        <v>272</v>
      </c>
      <c r="H8" s="436"/>
    </row>
    <row r="9" spans="1:8">
      <c r="A9" s="456"/>
      <c r="B9" s="456"/>
      <c r="C9" s="436"/>
      <c r="D9" s="456"/>
      <c r="E9" s="456"/>
      <c r="F9" s="456"/>
      <c r="G9" s="456"/>
      <c r="H9" s="436"/>
    </row>
    <row r="10" spans="1:8" ht="15.75" thickBot="1">
      <c r="A10" s="450" t="s">
        <v>79</v>
      </c>
      <c r="B10" s="450"/>
      <c r="C10" s="436"/>
      <c r="D10" s="436"/>
      <c r="E10" s="436"/>
      <c r="F10" s="436"/>
      <c r="G10" s="436"/>
      <c r="H10" s="436"/>
    </row>
    <row r="11" spans="1:8">
      <c r="A11" s="1345" t="s">
        <v>80</v>
      </c>
      <c r="B11" s="1346"/>
      <c r="C11" s="1347"/>
      <c r="D11" s="438" t="s">
        <v>81</v>
      </c>
      <c r="E11" s="438" t="s">
        <v>82</v>
      </c>
      <c r="F11" s="438" t="s">
        <v>83</v>
      </c>
      <c r="G11" s="439" t="s">
        <v>84</v>
      </c>
      <c r="H11" s="457"/>
    </row>
    <row r="12" spans="1:8">
      <c r="A12" s="1357" t="s">
        <v>85</v>
      </c>
      <c r="B12" s="1358"/>
      <c r="C12" s="1359"/>
      <c r="D12" s="459"/>
      <c r="E12" s="440"/>
      <c r="F12" s="440"/>
      <c r="G12" s="432">
        <f>ROUND(H37*0.05,0)</f>
        <v>2013</v>
      </c>
      <c r="H12" s="460"/>
    </row>
    <row r="13" spans="1:8">
      <c r="A13" s="1357"/>
      <c r="B13" s="1358"/>
      <c r="C13" s="1359"/>
      <c r="D13" s="461"/>
      <c r="E13" s="462"/>
      <c r="F13" s="497"/>
      <c r="G13" s="432">
        <f>E13*F13</f>
        <v>0</v>
      </c>
      <c r="H13" s="460"/>
    </row>
    <row r="14" spans="1:8" ht="15.75" thickBot="1">
      <c r="A14" s="1342"/>
      <c r="B14" s="1343"/>
      <c r="C14" s="1344"/>
      <c r="D14" s="464"/>
      <c r="E14" s="433"/>
      <c r="F14" s="434"/>
      <c r="G14" s="441">
        <f>E14*F14</f>
        <v>0</v>
      </c>
      <c r="H14" s="465"/>
    </row>
    <row r="15" spans="1:8" ht="15.75" thickBot="1">
      <c r="A15" s="436"/>
      <c r="B15" s="436"/>
      <c r="C15" s="436"/>
      <c r="D15" s="436"/>
      <c r="E15" s="436"/>
      <c r="F15" s="436"/>
      <c r="G15" s="437" t="s">
        <v>86</v>
      </c>
      <c r="H15" s="466">
        <f>SUM(G12:G14)</f>
        <v>2013</v>
      </c>
    </row>
    <row r="16" spans="1:8" ht="15.75" thickBot="1">
      <c r="A16" s="450" t="s">
        <v>87</v>
      </c>
      <c r="B16" s="450"/>
      <c r="C16" s="436"/>
      <c r="D16" s="436"/>
      <c r="E16" s="436"/>
      <c r="F16" s="436"/>
      <c r="G16" s="436"/>
      <c r="H16" s="436"/>
    </row>
    <row r="17" spans="1:8">
      <c r="A17" s="1345" t="s">
        <v>80</v>
      </c>
      <c r="B17" s="1346"/>
      <c r="C17" s="1347"/>
      <c r="D17" s="438" t="s">
        <v>88</v>
      </c>
      <c r="E17" s="438" t="s">
        <v>89</v>
      </c>
      <c r="F17" s="438" t="s">
        <v>90</v>
      </c>
      <c r="G17" s="439" t="s">
        <v>84</v>
      </c>
      <c r="H17" s="457"/>
    </row>
    <row r="18" spans="1:8">
      <c r="A18" s="458"/>
      <c r="B18" s="467"/>
      <c r="C18" s="468"/>
      <c r="D18" s="459"/>
      <c r="E18" s="430"/>
      <c r="F18" s="440"/>
      <c r="G18" s="432">
        <f>E18*F18</f>
        <v>0</v>
      </c>
      <c r="H18" s="460"/>
    </row>
    <row r="19" spans="1:8">
      <c r="A19" s="469"/>
      <c r="B19" s="467"/>
      <c r="C19" s="468"/>
      <c r="D19" s="459"/>
      <c r="E19" s="470"/>
      <c r="F19" s="440"/>
      <c r="G19" s="432">
        <f>F19*E19</f>
        <v>0</v>
      </c>
      <c r="H19" s="460"/>
    </row>
    <row r="20" spans="1:8">
      <c r="A20" s="469"/>
      <c r="B20" s="467"/>
      <c r="C20" s="471"/>
      <c r="D20" s="459"/>
      <c r="E20" s="470"/>
      <c r="F20" s="440"/>
      <c r="G20" s="432">
        <f>F20*E20</f>
        <v>0</v>
      </c>
      <c r="H20" s="460"/>
    </row>
    <row r="21" spans="1:8">
      <c r="A21" s="469" t="s">
        <v>93</v>
      </c>
      <c r="B21" s="467"/>
      <c r="C21" s="471">
        <v>0.05</v>
      </c>
      <c r="D21" s="459"/>
      <c r="E21" s="430"/>
      <c r="F21" s="431"/>
      <c r="G21" s="432">
        <f>SUM(G18:G20)*C21</f>
        <v>0</v>
      </c>
      <c r="H21" s="460"/>
    </row>
    <row r="22" spans="1:8">
      <c r="A22" s="469"/>
      <c r="B22" s="467"/>
      <c r="C22" s="468"/>
      <c r="D22" s="459"/>
      <c r="E22" s="430"/>
      <c r="F22" s="431"/>
      <c r="G22" s="432"/>
      <c r="H22" s="460"/>
    </row>
    <row r="23" spans="1:8" ht="15.75" thickBot="1">
      <c r="A23" s="472"/>
      <c r="B23" s="473"/>
      <c r="C23" s="474"/>
      <c r="D23" s="464"/>
      <c r="E23" s="433"/>
      <c r="F23" s="434"/>
      <c r="G23" s="435"/>
      <c r="H23" s="465"/>
    </row>
    <row r="24" spans="1:8" ht="15.75" thickBot="1">
      <c r="A24" s="436"/>
      <c r="B24" s="436"/>
      <c r="C24" s="436"/>
      <c r="D24" s="436"/>
      <c r="E24" s="436"/>
      <c r="F24" s="436"/>
      <c r="G24" s="437" t="s">
        <v>86</v>
      </c>
      <c r="H24" s="466">
        <f>SUM(G18:G23)</f>
        <v>0</v>
      </c>
    </row>
    <row r="25" spans="1:8" ht="15.75" thickBot="1">
      <c r="A25" s="450" t="s">
        <v>94</v>
      </c>
      <c r="B25" s="450"/>
      <c r="C25" s="436"/>
      <c r="D25" s="436"/>
      <c r="E25" s="436"/>
      <c r="F25" s="436"/>
      <c r="G25" s="436"/>
      <c r="H25" s="436"/>
    </row>
    <row r="26" spans="1:8">
      <c r="A26" s="1345" t="s">
        <v>95</v>
      </c>
      <c r="B26" s="1346"/>
      <c r="C26" s="1347"/>
      <c r="D26" s="438" t="s">
        <v>88</v>
      </c>
      <c r="E26" s="438" t="s">
        <v>89</v>
      </c>
      <c r="F26" s="438" t="s">
        <v>90</v>
      </c>
      <c r="G26" s="439" t="s">
        <v>84</v>
      </c>
      <c r="H26" s="457"/>
    </row>
    <row r="27" spans="1:8">
      <c r="A27" s="458" t="s">
        <v>235</v>
      </c>
      <c r="B27" s="467"/>
      <c r="C27" s="468"/>
      <c r="D27" s="459" t="s">
        <v>271</v>
      </c>
      <c r="E27" s="430">
        <v>1000</v>
      </c>
      <c r="F27" s="440">
        <v>1</v>
      </c>
      <c r="G27" s="432">
        <f>E27*F27</f>
        <v>1000</v>
      </c>
      <c r="H27" s="460"/>
    </row>
    <row r="28" spans="1:8" ht="15.75" thickBot="1">
      <c r="A28" s="1342"/>
      <c r="B28" s="1343"/>
      <c r="C28" s="1344"/>
      <c r="D28" s="475"/>
      <c r="E28" s="433"/>
      <c r="F28" s="434"/>
      <c r="G28" s="441"/>
      <c r="H28" s="460"/>
    </row>
    <row r="29" spans="1:8" ht="15.75" thickBot="1">
      <c r="A29" s="436"/>
      <c r="B29" s="436"/>
      <c r="C29" s="436"/>
      <c r="D29" s="436"/>
      <c r="E29" s="436"/>
      <c r="F29" s="436"/>
      <c r="G29" s="437" t="s">
        <v>86</v>
      </c>
      <c r="H29" s="466">
        <f>SUM(G27:G28)</f>
        <v>1000</v>
      </c>
    </row>
    <row r="30" spans="1:8" ht="15.75" thickBot="1">
      <c r="A30" s="450" t="s">
        <v>96</v>
      </c>
      <c r="B30" s="450"/>
      <c r="C30" s="436"/>
      <c r="D30" s="436"/>
      <c r="E30" s="436"/>
      <c r="F30" s="436"/>
      <c r="G30" s="436"/>
      <c r="H30" s="436"/>
    </row>
    <row r="31" spans="1:8">
      <c r="A31" s="476" t="s">
        <v>97</v>
      </c>
      <c r="B31" s="438"/>
      <c r="C31" s="438" t="s">
        <v>98</v>
      </c>
      <c r="D31" s="438" t="s">
        <v>99</v>
      </c>
      <c r="E31" s="442" t="s">
        <v>100</v>
      </c>
      <c r="F31" s="443" t="s">
        <v>83</v>
      </c>
      <c r="G31" s="444" t="s">
        <v>84</v>
      </c>
      <c r="H31" s="477"/>
    </row>
    <row r="32" spans="1:8">
      <c r="A32" s="478" t="s">
        <v>227</v>
      </c>
      <c r="B32" s="468"/>
      <c r="C32" s="479">
        <f>PERSONAL!$E$31</f>
        <v>48800</v>
      </c>
      <c r="D32" s="480">
        <f>PERSONAL!$F$31</f>
        <v>1.7431000000000001</v>
      </c>
      <c r="E32" s="440">
        <f>+D32*C32</f>
        <v>85063.28</v>
      </c>
      <c r="F32" s="686">
        <v>4</v>
      </c>
      <c r="G32" s="445">
        <f>ROUND(E32/F32,0)</f>
        <v>21266</v>
      </c>
      <c r="H32" s="451"/>
    </row>
    <row r="33" spans="1:8">
      <c r="A33" s="478" t="s">
        <v>101</v>
      </c>
      <c r="B33" s="467"/>
      <c r="C33" s="479">
        <f>PERSONAL!$E$32</f>
        <v>87200</v>
      </c>
      <c r="D33" s="480">
        <f>PERSONAL!$F$31</f>
        <v>1.7431000000000001</v>
      </c>
      <c r="E33" s="440">
        <f>+D33*C33</f>
        <v>151998.32</v>
      </c>
      <c r="F33" s="686">
        <f>+F32*2</f>
        <v>8</v>
      </c>
      <c r="G33" s="445">
        <f>ROUND(E33/F33,0)</f>
        <v>19000</v>
      </c>
      <c r="H33" s="451"/>
    </row>
    <row r="34" spans="1:8">
      <c r="A34" s="478"/>
      <c r="B34" s="468"/>
      <c r="C34" s="430"/>
      <c r="D34" s="459"/>
      <c r="E34" s="430"/>
      <c r="F34" s="440"/>
      <c r="G34" s="445"/>
      <c r="H34" s="451"/>
    </row>
    <row r="35" spans="1:8">
      <c r="A35" s="478"/>
      <c r="B35" s="468"/>
      <c r="C35" s="430"/>
      <c r="D35" s="459"/>
      <c r="E35" s="430"/>
      <c r="F35" s="440"/>
      <c r="G35" s="445"/>
      <c r="H35" s="451"/>
    </row>
    <row r="36" spans="1:8" ht="15.75" thickBot="1">
      <c r="A36" s="481"/>
      <c r="B36" s="474"/>
      <c r="C36" s="474"/>
      <c r="D36" s="474"/>
      <c r="E36" s="474"/>
      <c r="F36" s="474"/>
      <c r="G36" s="482"/>
      <c r="H36" s="482"/>
    </row>
    <row r="37" spans="1:8" ht="15.75" thickBot="1">
      <c r="A37" s="436"/>
      <c r="B37" s="436"/>
      <c r="C37" s="436"/>
      <c r="D37" s="436"/>
      <c r="E37" s="436"/>
      <c r="F37" s="436"/>
      <c r="G37" s="437" t="s">
        <v>86</v>
      </c>
      <c r="H37" s="466">
        <f>SUM(G32:G36)</f>
        <v>40266</v>
      </c>
    </row>
    <row r="38" spans="1:8" ht="15.75" thickBot="1">
      <c r="A38" s="436"/>
      <c r="B38" s="436"/>
      <c r="C38" s="436"/>
      <c r="D38" s="436"/>
      <c r="E38" s="436"/>
      <c r="F38" s="436"/>
      <c r="G38" s="483"/>
      <c r="H38" s="436"/>
    </row>
    <row r="39" spans="1:8" ht="15.75" thickBot="1">
      <c r="A39" s="436"/>
      <c r="B39" s="436"/>
      <c r="C39" s="436"/>
      <c r="D39" s="436"/>
      <c r="E39" s="484" t="s">
        <v>102</v>
      </c>
      <c r="F39" s="485"/>
      <c r="G39" s="485"/>
      <c r="H39" s="466">
        <f>H15+H24+H29+H37</f>
        <v>43279</v>
      </c>
    </row>
    <row r="40" spans="1:8" ht="15.75" thickBot="1">
      <c r="A40" s="450" t="s">
        <v>103</v>
      </c>
      <c r="B40" s="450"/>
      <c r="C40" s="436"/>
      <c r="D40" s="436"/>
      <c r="E40" s="436"/>
      <c r="F40" s="436"/>
      <c r="G40" s="436"/>
      <c r="H40" s="436"/>
    </row>
    <row r="41" spans="1:8">
      <c r="A41" s="487" t="s">
        <v>80</v>
      </c>
      <c r="B41" s="488"/>
      <c r="C41" s="488"/>
      <c r="D41" s="488"/>
      <c r="E41" s="489"/>
      <c r="F41" s="490" t="s">
        <v>104</v>
      </c>
      <c r="G41" s="491" t="s">
        <v>105</v>
      </c>
      <c r="H41" s="457"/>
    </row>
    <row r="42" spans="1:8">
      <c r="A42" s="469" t="s">
        <v>106</v>
      </c>
      <c r="B42" s="467"/>
      <c r="C42" s="467"/>
      <c r="D42" s="467"/>
      <c r="E42" s="468"/>
      <c r="F42" s="492">
        <f>PRESUPUESTO!$E$222</f>
        <v>0.109</v>
      </c>
      <c r="G42" s="493">
        <f>+F42*H39</f>
        <v>4717.4110000000001</v>
      </c>
      <c r="H42" s="460"/>
    </row>
    <row r="43" spans="1:8" ht="15.75" thickBot="1">
      <c r="A43" s="472" t="s">
        <v>108</v>
      </c>
      <c r="B43" s="473"/>
      <c r="C43" s="473"/>
      <c r="D43" s="473"/>
      <c r="E43" s="474"/>
      <c r="F43" s="494">
        <f>PRESUPUESTO!$E$223</f>
        <v>0.05</v>
      </c>
      <c r="G43" s="495">
        <f>+F43*H39</f>
        <v>2163.9500000000003</v>
      </c>
      <c r="H43" s="465"/>
    </row>
    <row r="44" spans="1:8" ht="15.75" thickBot="1">
      <c r="A44" s="436"/>
      <c r="B44" s="436"/>
      <c r="C44" s="436"/>
      <c r="D44" s="436"/>
      <c r="E44" s="436"/>
      <c r="F44" s="436"/>
      <c r="G44" s="437" t="s">
        <v>86</v>
      </c>
      <c r="H44" s="496">
        <f>SUM(G42:G43)</f>
        <v>6881.3610000000008</v>
      </c>
    </row>
    <row r="45" spans="1:8" ht="15.75" thickBot="1">
      <c r="A45" s="436"/>
      <c r="B45" s="436"/>
      <c r="C45" s="436"/>
      <c r="D45" s="436"/>
      <c r="E45" s="436"/>
      <c r="F45" s="436"/>
      <c r="G45" s="436"/>
      <c r="H45" s="436"/>
    </row>
    <row r="46" spans="1:8" ht="15.75" thickBot="1">
      <c r="A46" s="446"/>
      <c r="B46" s="446"/>
      <c r="C46" s="436"/>
      <c r="D46" s="484" t="s">
        <v>109</v>
      </c>
      <c r="E46" s="485"/>
      <c r="F46" s="485"/>
      <c r="G46" s="485"/>
      <c r="H46" s="466">
        <f>ROUND((H39+H44),0)</f>
        <v>50160</v>
      </c>
    </row>
    <row r="48" spans="1:8">
      <c r="A48" s="186" t="s">
        <v>77</v>
      </c>
      <c r="B48" s="446"/>
      <c r="C48" s="446"/>
      <c r="D48" s="446"/>
      <c r="E48" s="446"/>
      <c r="F48" s="446"/>
      <c r="G48" s="446"/>
      <c r="H48" s="446"/>
    </row>
    <row r="49" spans="1:8" ht="15.75" thickBot="1">
      <c r="A49" s="446"/>
      <c r="B49" s="446"/>
      <c r="C49" s="446"/>
      <c r="D49" s="446"/>
      <c r="E49" s="446"/>
      <c r="F49" s="446"/>
      <c r="G49" s="446"/>
      <c r="H49" s="446"/>
    </row>
    <row r="50" spans="1:8">
      <c r="A50" s="1348" t="s">
        <v>213</v>
      </c>
      <c r="B50" s="1349"/>
      <c r="C50" s="1350"/>
      <c r="D50" s="448"/>
      <c r="E50" s="448"/>
      <c r="F50" s="448"/>
      <c r="G50" s="448"/>
      <c r="H50" s="449"/>
    </row>
    <row r="51" spans="1:8">
      <c r="A51" s="1351"/>
      <c r="B51" s="1352"/>
      <c r="C51" s="1353"/>
      <c r="D51" s="436"/>
      <c r="E51" s="450" t="s">
        <v>78</v>
      </c>
      <c r="F51" s="436"/>
      <c r="G51" s="436"/>
      <c r="H51" s="451"/>
    </row>
    <row r="52" spans="1:8" ht="15.75" thickBot="1">
      <c r="A52" s="1354"/>
      <c r="B52" s="1355"/>
      <c r="C52" s="1356"/>
      <c r="D52" s="1360"/>
      <c r="E52" s="1361"/>
      <c r="F52" s="1361"/>
      <c r="G52" s="1361"/>
      <c r="H52" s="1362"/>
    </row>
    <row r="53" spans="1:8">
      <c r="A53" s="455"/>
      <c r="B53" s="436"/>
      <c r="C53" s="436"/>
      <c r="D53" s="436"/>
      <c r="E53" s="436"/>
      <c r="F53" s="436"/>
      <c r="G53" s="436"/>
      <c r="H53" s="436"/>
    </row>
    <row r="54" spans="1:8">
      <c r="A54" s="455" t="s">
        <v>620</v>
      </c>
      <c r="B54" s="456"/>
      <c r="C54" s="436"/>
      <c r="D54" s="446"/>
      <c r="E54" s="456"/>
      <c r="F54" s="446"/>
      <c r="G54" s="456" t="s">
        <v>623</v>
      </c>
      <c r="H54" s="436"/>
    </row>
    <row r="55" spans="1:8">
      <c r="A55" s="455" t="s">
        <v>622</v>
      </c>
      <c r="B55" s="456"/>
      <c r="C55" s="436"/>
      <c r="D55" s="456"/>
      <c r="E55" s="456"/>
      <c r="F55" s="456"/>
      <c r="G55" s="456" t="s">
        <v>272</v>
      </c>
      <c r="H55" s="436"/>
    </row>
    <row r="56" spans="1:8">
      <c r="A56" s="456"/>
      <c r="B56" s="456"/>
      <c r="C56" s="436"/>
      <c r="D56" s="456"/>
      <c r="E56" s="456"/>
      <c r="F56" s="456"/>
      <c r="G56" s="456"/>
      <c r="H56" s="436"/>
    </row>
    <row r="57" spans="1:8" ht="15.75" thickBot="1">
      <c r="A57" s="450" t="s">
        <v>79</v>
      </c>
      <c r="B57" s="450"/>
      <c r="C57" s="436"/>
      <c r="D57" s="436"/>
      <c r="E57" s="436"/>
      <c r="F57" s="436"/>
      <c r="G57" s="436"/>
      <c r="H57" s="436"/>
    </row>
    <row r="58" spans="1:8">
      <c r="A58" s="1345" t="s">
        <v>80</v>
      </c>
      <c r="B58" s="1346"/>
      <c r="C58" s="1347"/>
      <c r="D58" s="438" t="s">
        <v>81</v>
      </c>
      <c r="E58" s="438" t="s">
        <v>82</v>
      </c>
      <c r="F58" s="438" t="s">
        <v>83</v>
      </c>
      <c r="G58" s="439" t="s">
        <v>84</v>
      </c>
      <c r="H58" s="457"/>
    </row>
    <row r="59" spans="1:8">
      <c r="A59" s="1357" t="s">
        <v>85</v>
      </c>
      <c r="B59" s="1358"/>
      <c r="C59" s="1359"/>
      <c r="D59" s="459"/>
      <c r="E59" s="440"/>
      <c r="F59" s="440"/>
      <c r="G59" s="432">
        <f>ROUND(H84*0.05,0)</f>
        <v>1611</v>
      </c>
      <c r="H59" s="460"/>
    </row>
    <row r="60" spans="1:8">
      <c r="A60" s="1357"/>
      <c r="B60" s="1358"/>
      <c r="C60" s="1359"/>
      <c r="D60" s="461"/>
      <c r="E60" s="462"/>
      <c r="F60" s="497"/>
      <c r="G60" s="432">
        <f>E60*F60</f>
        <v>0</v>
      </c>
      <c r="H60" s="460"/>
    </row>
    <row r="61" spans="1:8" ht="15.75" thickBot="1">
      <c r="A61" s="1342"/>
      <c r="B61" s="1343"/>
      <c r="C61" s="1344"/>
      <c r="D61" s="464"/>
      <c r="E61" s="433"/>
      <c r="F61" s="434"/>
      <c r="G61" s="441">
        <f>E61*F61</f>
        <v>0</v>
      </c>
      <c r="H61" s="465"/>
    </row>
    <row r="62" spans="1:8" ht="15.75" thickBot="1">
      <c r="A62" s="436"/>
      <c r="B62" s="436"/>
      <c r="C62" s="436"/>
      <c r="D62" s="436"/>
      <c r="E62" s="436"/>
      <c r="F62" s="436"/>
      <c r="G62" s="437" t="s">
        <v>86</v>
      </c>
      <c r="H62" s="466">
        <f>SUM(G59:G61)</f>
        <v>1611</v>
      </c>
    </row>
    <row r="63" spans="1:8" ht="15.75" thickBot="1">
      <c r="A63" s="450" t="s">
        <v>87</v>
      </c>
      <c r="B63" s="450"/>
      <c r="C63" s="436"/>
      <c r="D63" s="436"/>
      <c r="E63" s="436"/>
      <c r="F63" s="436"/>
      <c r="G63" s="436"/>
      <c r="H63" s="436"/>
    </row>
    <row r="64" spans="1:8">
      <c r="A64" s="1345" t="s">
        <v>80</v>
      </c>
      <c r="B64" s="1346"/>
      <c r="C64" s="1347"/>
      <c r="D64" s="438" t="s">
        <v>88</v>
      </c>
      <c r="E64" s="438" t="s">
        <v>89</v>
      </c>
      <c r="F64" s="438" t="s">
        <v>90</v>
      </c>
      <c r="G64" s="439" t="s">
        <v>84</v>
      </c>
      <c r="H64" s="457"/>
    </row>
    <row r="65" spans="1:8">
      <c r="A65" s="458"/>
      <c r="B65" s="467"/>
      <c r="C65" s="468"/>
      <c r="D65" s="459"/>
      <c r="E65" s="430"/>
      <c r="F65" s="440"/>
      <c r="G65" s="432">
        <f>E65*F65</f>
        <v>0</v>
      </c>
      <c r="H65" s="460"/>
    </row>
    <row r="66" spans="1:8">
      <c r="A66" s="469"/>
      <c r="B66" s="467"/>
      <c r="C66" s="468"/>
      <c r="D66" s="459"/>
      <c r="E66" s="470"/>
      <c r="F66" s="440"/>
      <c r="G66" s="432">
        <f>F66*E66</f>
        <v>0</v>
      </c>
      <c r="H66" s="460"/>
    </row>
    <row r="67" spans="1:8">
      <c r="A67" s="469"/>
      <c r="B67" s="467"/>
      <c r="C67" s="471"/>
      <c r="D67" s="459"/>
      <c r="E67" s="470"/>
      <c r="F67" s="440"/>
      <c r="G67" s="432">
        <f>F67*E67</f>
        <v>0</v>
      </c>
      <c r="H67" s="460"/>
    </row>
    <row r="68" spans="1:8">
      <c r="A68" s="469" t="s">
        <v>93</v>
      </c>
      <c r="B68" s="467"/>
      <c r="C68" s="471">
        <v>0.05</v>
      </c>
      <c r="D68" s="459"/>
      <c r="E68" s="430"/>
      <c r="F68" s="431"/>
      <c r="G68" s="432">
        <f>SUM(G65:G67)*C68</f>
        <v>0</v>
      </c>
      <c r="H68" s="460"/>
    </row>
    <row r="69" spans="1:8">
      <c r="A69" s="469"/>
      <c r="B69" s="467"/>
      <c r="C69" s="468"/>
      <c r="D69" s="459"/>
      <c r="E69" s="430"/>
      <c r="F69" s="431"/>
      <c r="G69" s="432"/>
      <c r="H69" s="460"/>
    </row>
    <row r="70" spans="1:8" ht="15.75" thickBot="1">
      <c r="A70" s="472"/>
      <c r="B70" s="473"/>
      <c r="C70" s="474"/>
      <c r="D70" s="464"/>
      <c r="E70" s="433"/>
      <c r="F70" s="434"/>
      <c r="G70" s="435"/>
      <c r="H70" s="465"/>
    </row>
    <row r="71" spans="1:8" ht="15.75" thickBot="1">
      <c r="A71" s="436"/>
      <c r="B71" s="436"/>
      <c r="C71" s="436"/>
      <c r="D71" s="436"/>
      <c r="E71" s="436"/>
      <c r="F71" s="436"/>
      <c r="G71" s="437" t="s">
        <v>86</v>
      </c>
      <c r="H71" s="466">
        <f>SUM(G65:G70)</f>
        <v>0</v>
      </c>
    </row>
    <row r="72" spans="1:8" ht="15.75" thickBot="1">
      <c r="A72" s="450" t="s">
        <v>94</v>
      </c>
      <c r="B72" s="450"/>
      <c r="C72" s="436"/>
      <c r="D72" s="436"/>
      <c r="E72" s="436"/>
      <c r="F72" s="436"/>
      <c r="G72" s="436"/>
      <c r="H72" s="436"/>
    </row>
    <row r="73" spans="1:8">
      <c r="A73" s="1345" t="s">
        <v>95</v>
      </c>
      <c r="B73" s="1346"/>
      <c r="C73" s="1347"/>
      <c r="D73" s="438" t="s">
        <v>88</v>
      </c>
      <c r="E73" s="438" t="s">
        <v>89</v>
      </c>
      <c r="F73" s="438" t="s">
        <v>90</v>
      </c>
      <c r="G73" s="439" t="s">
        <v>84</v>
      </c>
      <c r="H73" s="457"/>
    </row>
    <row r="74" spans="1:8">
      <c r="A74" s="458" t="s">
        <v>235</v>
      </c>
      <c r="B74" s="467"/>
      <c r="C74" s="468"/>
      <c r="D74" s="459" t="s">
        <v>271</v>
      </c>
      <c r="E74" s="430">
        <v>1000</v>
      </c>
      <c r="F74" s="440">
        <v>1</v>
      </c>
      <c r="G74" s="432">
        <f>E74*F74</f>
        <v>1000</v>
      </c>
      <c r="H74" s="460"/>
    </row>
    <row r="75" spans="1:8" ht="15.75" thickBot="1">
      <c r="A75" s="1342"/>
      <c r="B75" s="1343"/>
      <c r="C75" s="1344"/>
      <c r="D75" s="475"/>
      <c r="E75" s="433"/>
      <c r="F75" s="434"/>
      <c r="G75" s="441"/>
      <c r="H75" s="460"/>
    </row>
    <row r="76" spans="1:8" ht="15.75" thickBot="1">
      <c r="A76" s="436"/>
      <c r="B76" s="436"/>
      <c r="C76" s="436"/>
      <c r="D76" s="436"/>
      <c r="E76" s="436"/>
      <c r="F76" s="436"/>
      <c r="G76" s="437" t="s">
        <v>86</v>
      </c>
      <c r="H76" s="466">
        <f>SUM(G74:G75)</f>
        <v>1000</v>
      </c>
    </row>
    <row r="77" spans="1:8" ht="15.75" thickBot="1">
      <c r="A77" s="450" t="s">
        <v>96</v>
      </c>
      <c r="B77" s="450"/>
      <c r="C77" s="436"/>
      <c r="D77" s="436"/>
      <c r="E77" s="436"/>
      <c r="F77" s="436"/>
      <c r="G77" s="436"/>
      <c r="H77" s="436"/>
    </row>
    <row r="78" spans="1:8">
      <c r="A78" s="476" t="s">
        <v>97</v>
      </c>
      <c r="B78" s="438"/>
      <c r="C78" s="438" t="s">
        <v>98</v>
      </c>
      <c r="D78" s="438" t="s">
        <v>99</v>
      </c>
      <c r="E78" s="442" t="s">
        <v>100</v>
      </c>
      <c r="F78" s="443" t="s">
        <v>83</v>
      </c>
      <c r="G78" s="444" t="s">
        <v>84</v>
      </c>
      <c r="H78" s="477"/>
    </row>
    <row r="79" spans="1:8">
      <c r="A79" s="478" t="s">
        <v>227</v>
      </c>
      <c r="B79" s="468"/>
      <c r="C79" s="479">
        <f>PERSONAL!$E$31</f>
        <v>48800</v>
      </c>
      <c r="D79" s="480">
        <f>PERSONAL!$F$31</f>
        <v>1.7431000000000001</v>
      </c>
      <c r="E79" s="440">
        <f>+D79*C79</f>
        <v>85063.28</v>
      </c>
      <c r="F79" s="686">
        <v>5</v>
      </c>
      <c r="G79" s="445">
        <f>ROUND(E79/F79,0)</f>
        <v>17013</v>
      </c>
      <c r="H79" s="451"/>
    </row>
    <row r="80" spans="1:8">
      <c r="A80" s="478" t="s">
        <v>101</v>
      </c>
      <c r="B80" s="467"/>
      <c r="C80" s="479">
        <f>PERSONAL!$E$32</f>
        <v>87200</v>
      </c>
      <c r="D80" s="480">
        <f>PERSONAL!$F$31</f>
        <v>1.7431000000000001</v>
      </c>
      <c r="E80" s="440">
        <f>+D80*C80</f>
        <v>151998.32</v>
      </c>
      <c r="F80" s="686">
        <f>+F79*2</f>
        <v>10</v>
      </c>
      <c r="G80" s="445">
        <f>ROUND(E80/F80,0)</f>
        <v>15200</v>
      </c>
      <c r="H80" s="451"/>
    </row>
    <row r="81" spans="1:8">
      <c r="A81" s="478"/>
      <c r="B81" s="468"/>
      <c r="C81" s="430"/>
      <c r="D81" s="459"/>
      <c r="E81" s="430"/>
      <c r="F81" s="440"/>
      <c r="G81" s="445"/>
      <c r="H81" s="451"/>
    </row>
    <row r="82" spans="1:8">
      <c r="A82" s="478"/>
      <c r="B82" s="468"/>
      <c r="C82" s="430"/>
      <c r="D82" s="459"/>
      <c r="E82" s="430"/>
      <c r="F82" s="440"/>
      <c r="G82" s="445"/>
      <c r="H82" s="451"/>
    </row>
    <row r="83" spans="1:8" ht="15.75" thickBot="1">
      <c r="A83" s="481"/>
      <c r="B83" s="474"/>
      <c r="C83" s="474"/>
      <c r="D83" s="474"/>
      <c r="E83" s="474"/>
      <c r="F83" s="474"/>
      <c r="G83" s="482"/>
      <c r="H83" s="482"/>
    </row>
    <row r="84" spans="1:8" ht="15.75" thickBot="1">
      <c r="A84" s="436"/>
      <c r="B84" s="436"/>
      <c r="C84" s="436"/>
      <c r="D84" s="436"/>
      <c r="E84" s="436"/>
      <c r="F84" s="436"/>
      <c r="G84" s="437" t="s">
        <v>86</v>
      </c>
      <c r="H84" s="466">
        <f>SUM(G79:G83)</f>
        <v>32213</v>
      </c>
    </row>
    <row r="85" spans="1:8" ht="15.75" thickBot="1">
      <c r="A85" s="436"/>
      <c r="B85" s="436"/>
      <c r="C85" s="436"/>
      <c r="D85" s="436"/>
      <c r="E85" s="436"/>
      <c r="F85" s="436"/>
      <c r="G85" s="483"/>
      <c r="H85" s="436"/>
    </row>
    <row r="86" spans="1:8" ht="15.75" thickBot="1">
      <c r="A86" s="436"/>
      <c r="B86" s="436"/>
      <c r="C86" s="436"/>
      <c r="D86" s="436"/>
      <c r="E86" s="484" t="s">
        <v>102</v>
      </c>
      <c r="F86" s="485"/>
      <c r="G86" s="485"/>
      <c r="H86" s="466">
        <f>H62+H71+H76+H84</f>
        <v>34824</v>
      </c>
    </row>
    <row r="87" spans="1:8" ht="15.75" thickBot="1">
      <c r="A87" s="450" t="s">
        <v>103</v>
      </c>
      <c r="B87" s="450"/>
      <c r="C87" s="436"/>
      <c r="D87" s="436"/>
      <c r="E87" s="436"/>
      <c r="F87" s="436"/>
      <c r="G87" s="436"/>
      <c r="H87" s="436"/>
    </row>
    <row r="88" spans="1:8">
      <c r="A88" s="487" t="s">
        <v>80</v>
      </c>
      <c r="B88" s="488"/>
      <c r="C88" s="488"/>
      <c r="D88" s="488"/>
      <c r="E88" s="489"/>
      <c r="F88" s="490" t="s">
        <v>104</v>
      </c>
      <c r="G88" s="491" t="s">
        <v>105</v>
      </c>
      <c r="H88" s="457"/>
    </row>
    <row r="89" spans="1:8">
      <c r="A89" s="469" t="s">
        <v>106</v>
      </c>
      <c r="B89" s="467"/>
      <c r="C89" s="467"/>
      <c r="D89" s="467"/>
      <c r="E89" s="468"/>
      <c r="F89" s="492">
        <f>PRESUPUESTO!$E$222</f>
        <v>0.109</v>
      </c>
      <c r="G89" s="493">
        <f>+F89*H86</f>
        <v>3795.8159999999998</v>
      </c>
      <c r="H89" s="460"/>
    </row>
    <row r="90" spans="1:8" ht="15.75" thickBot="1">
      <c r="A90" s="472" t="s">
        <v>108</v>
      </c>
      <c r="B90" s="473"/>
      <c r="C90" s="473"/>
      <c r="D90" s="473"/>
      <c r="E90" s="474"/>
      <c r="F90" s="494">
        <f>PRESUPUESTO!$E$223</f>
        <v>0.05</v>
      </c>
      <c r="G90" s="495">
        <f>+F90*H86</f>
        <v>1741.2</v>
      </c>
      <c r="H90" s="465"/>
    </row>
    <row r="91" spans="1:8" ht="15.75" thickBot="1">
      <c r="A91" s="436"/>
      <c r="B91" s="436"/>
      <c r="C91" s="436"/>
      <c r="D91" s="436"/>
      <c r="E91" s="436"/>
      <c r="F91" s="436"/>
      <c r="G91" s="437" t="s">
        <v>86</v>
      </c>
      <c r="H91" s="496">
        <f>SUM(G89:G90)</f>
        <v>5537.0159999999996</v>
      </c>
    </row>
    <row r="92" spans="1:8" ht="15.75" thickBot="1">
      <c r="A92" s="436"/>
      <c r="B92" s="436"/>
      <c r="C92" s="436"/>
      <c r="D92" s="436"/>
      <c r="E92" s="436"/>
      <c r="F92" s="436"/>
      <c r="G92" s="436"/>
      <c r="H92" s="436"/>
    </row>
    <row r="93" spans="1:8" ht="15.75" thickBot="1">
      <c r="A93" s="446"/>
      <c r="B93" s="446"/>
      <c r="C93" s="436"/>
      <c r="D93" s="484" t="s">
        <v>109</v>
      </c>
      <c r="E93" s="485"/>
      <c r="F93" s="485"/>
      <c r="G93" s="485"/>
      <c r="H93" s="466">
        <f>ROUND((H86+H91),0)</f>
        <v>40361</v>
      </c>
    </row>
    <row r="95" spans="1:8">
      <c r="A95" s="186" t="s">
        <v>77</v>
      </c>
      <c r="B95" s="446"/>
      <c r="C95" s="446"/>
      <c r="D95" s="446"/>
      <c r="E95" s="446"/>
      <c r="F95" s="446"/>
      <c r="G95" s="446"/>
      <c r="H95" s="446"/>
    </row>
    <row r="96" spans="1:8" ht="15.75" thickBot="1">
      <c r="A96" s="446"/>
      <c r="B96" s="446"/>
      <c r="C96" s="446"/>
      <c r="D96" s="446"/>
      <c r="E96" s="446"/>
      <c r="F96" s="446"/>
      <c r="G96" s="446"/>
      <c r="H96" s="446"/>
    </row>
    <row r="97" spans="1:8">
      <c r="A97" s="1348" t="s">
        <v>213</v>
      </c>
      <c r="B97" s="1349"/>
      <c r="C97" s="1350"/>
      <c r="D97" s="448"/>
      <c r="E97" s="448"/>
      <c r="F97" s="448"/>
      <c r="G97" s="448"/>
      <c r="H97" s="449"/>
    </row>
    <row r="98" spans="1:8">
      <c r="A98" s="1351"/>
      <c r="B98" s="1352"/>
      <c r="C98" s="1353"/>
      <c r="D98" s="436"/>
      <c r="E98" s="450" t="s">
        <v>78</v>
      </c>
      <c r="F98" s="436"/>
      <c r="G98" s="436"/>
      <c r="H98" s="451"/>
    </row>
    <row r="99" spans="1:8" ht="15.75" thickBot="1">
      <c r="A99" s="1354"/>
      <c r="B99" s="1355"/>
      <c r="C99" s="1356"/>
      <c r="D99" s="1360"/>
      <c r="E99" s="1361"/>
      <c r="F99" s="1361"/>
      <c r="G99" s="1361"/>
      <c r="H99" s="1362"/>
    </row>
    <row r="100" spans="1:8">
      <c r="A100" s="455"/>
      <c r="B100" s="436"/>
      <c r="C100" s="436"/>
      <c r="D100" s="436"/>
      <c r="E100" s="436"/>
      <c r="F100" s="436"/>
      <c r="G100" s="436"/>
      <c r="H100" s="436"/>
    </row>
    <row r="101" spans="1:8">
      <c r="A101" s="455" t="s">
        <v>620</v>
      </c>
      <c r="B101" s="456"/>
      <c r="C101" s="436"/>
      <c r="D101" s="446"/>
      <c r="E101" s="456"/>
      <c r="F101" s="446"/>
      <c r="G101" s="456" t="s">
        <v>633</v>
      </c>
      <c r="H101" s="436"/>
    </row>
    <row r="102" spans="1:8">
      <c r="A102" s="455" t="s">
        <v>624</v>
      </c>
      <c r="B102" s="456"/>
      <c r="C102" s="436"/>
      <c r="D102" s="456"/>
      <c r="E102" s="456"/>
      <c r="F102" s="456"/>
      <c r="G102" s="456" t="s">
        <v>223</v>
      </c>
      <c r="H102" s="436"/>
    </row>
    <row r="103" spans="1:8">
      <c r="A103" s="456"/>
      <c r="B103" s="456"/>
      <c r="C103" s="436"/>
      <c r="D103" s="456"/>
      <c r="E103" s="456"/>
      <c r="F103" s="456"/>
      <c r="G103" s="456"/>
      <c r="H103" s="436"/>
    </row>
    <row r="104" spans="1:8" ht="15.75" thickBot="1">
      <c r="A104" s="450" t="s">
        <v>79</v>
      </c>
      <c r="B104" s="450"/>
      <c r="C104" s="436"/>
      <c r="D104" s="436"/>
      <c r="E104" s="436"/>
      <c r="F104" s="436"/>
      <c r="G104" s="436"/>
      <c r="H104" s="436"/>
    </row>
    <row r="105" spans="1:8">
      <c r="A105" s="1345" t="s">
        <v>80</v>
      </c>
      <c r="B105" s="1346"/>
      <c r="C105" s="1347"/>
      <c r="D105" s="438" t="s">
        <v>81</v>
      </c>
      <c r="E105" s="438" t="s">
        <v>82</v>
      </c>
      <c r="F105" s="438" t="s">
        <v>83</v>
      </c>
      <c r="G105" s="439" t="s">
        <v>84</v>
      </c>
      <c r="H105" s="457"/>
    </row>
    <row r="106" spans="1:8">
      <c r="A106" s="1357" t="s">
        <v>85</v>
      </c>
      <c r="B106" s="1358"/>
      <c r="C106" s="1359"/>
      <c r="D106" s="459"/>
      <c r="E106" s="440"/>
      <c r="F106" s="440"/>
      <c r="G106" s="432">
        <f>ROUND(H133*0.05,0)</f>
        <v>473</v>
      </c>
      <c r="H106" s="460"/>
    </row>
    <row r="107" spans="1:8">
      <c r="A107" s="1357" t="s">
        <v>625</v>
      </c>
      <c r="B107" s="1358"/>
      <c r="C107" s="1359"/>
      <c r="D107" s="461" t="s">
        <v>626</v>
      </c>
      <c r="E107" s="462">
        <f>110000*1.19</f>
        <v>130900</v>
      </c>
      <c r="F107" s="497">
        <v>6</v>
      </c>
      <c r="G107" s="432">
        <f>E107/F107</f>
        <v>21816.666666666668</v>
      </c>
      <c r="H107" s="460"/>
    </row>
    <row r="108" spans="1:8" ht="15.75" thickBot="1">
      <c r="A108" s="1342"/>
      <c r="B108" s="1343"/>
      <c r="C108" s="1344"/>
      <c r="D108" s="464"/>
      <c r="E108" s="433"/>
      <c r="F108" s="434"/>
      <c r="G108" s="441">
        <f>E108*F108</f>
        <v>0</v>
      </c>
      <c r="H108" s="465"/>
    </row>
    <row r="109" spans="1:8" ht="15.75" thickBot="1">
      <c r="A109" s="436"/>
      <c r="B109" s="436"/>
      <c r="C109" s="436"/>
      <c r="D109" s="436"/>
      <c r="E109" s="436"/>
      <c r="F109" s="436"/>
      <c r="G109" s="437" t="s">
        <v>86</v>
      </c>
      <c r="H109" s="466">
        <f>SUM(G106:G108)</f>
        <v>22289.666666666668</v>
      </c>
    </row>
    <row r="110" spans="1:8" ht="15.75" thickBot="1">
      <c r="A110" s="450" t="s">
        <v>87</v>
      </c>
      <c r="B110" s="450"/>
      <c r="C110" s="436"/>
      <c r="D110" s="436"/>
      <c r="E110" s="436"/>
      <c r="F110" s="436"/>
      <c r="G110" s="436"/>
      <c r="H110" s="436"/>
    </row>
    <row r="111" spans="1:8">
      <c r="A111" s="1345" t="s">
        <v>80</v>
      </c>
      <c r="B111" s="1346"/>
      <c r="C111" s="1347"/>
      <c r="D111" s="438" t="s">
        <v>88</v>
      </c>
      <c r="E111" s="438" t="s">
        <v>89</v>
      </c>
      <c r="F111" s="438" t="s">
        <v>90</v>
      </c>
      <c r="G111" s="439" t="s">
        <v>84</v>
      </c>
      <c r="H111" s="457"/>
    </row>
    <row r="112" spans="1:8">
      <c r="A112" s="458"/>
      <c r="B112" s="467"/>
      <c r="C112" s="468"/>
      <c r="D112" s="459"/>
      <c r="E112" s="430"/>
      <c r="F112" s="440"/>
      <c r="G112" s="432">
        <f>E112*F112</f>
        <v>0</v>
      </c>
      <c r="H112" s="460"/>
    </row>
    <row r="113" spans="1:8">
      <c r="A113" s="469"/>
      <c r="B113" s="467"/>
      <c r="C113" s="468"/>
      <c r="D113" s="459"/>
      <c r="E113" s="470"/>
      <c r="F113" s="440"/>
      <c r="G113" s="432">
        <f>F113*E113</f>
        <v>0</v>
      </c>
      <c r="H113" s="460"/>
    </row>
    <row r="114" spans="1:8">
      <c r="A114" s="469"/>
      <c r="B114" s="467"/>
      <c r="C114" s="471"/>
      <c r="D114" s="459"/>
      <c r="E114" s="470"/>
      <c r="F114" s="440"/>
      <c r="G114" s="432">
        <f>F114*E114</f>
        <v>0</v>
      </c>
      <c r="H114" s="460"/>
    </row>
    <row r="115" spans="1:8">
      <c r="A115" s="469" t="s">
        <v>93</v>
      </c>
      <c r="B115" s="467"/>
      <c r="C115" s="471">
        <v>0.05</v>
      </c>
      <c r="D115" s="459"/>
      <c r="E115" s="430"/>
      <c r="F115" s="431"/>
      <c r="G115" s="432">
        <f>SUM(G112:G114)*C115</f>
        <v>0</v>
      </c>
      <c r="H115" s="460"/>
    </row>
    <row r="116" spans="1:8">
      <c r="A116" s="469"/>
      <c r="B116" s="467"/>
      <c r="C116" s="468"/>
      <c r="D116" s="459"/>
      <c r="E116" s="430"/>
      <c r="F116" s="431"/>
      <c r="G116" s="432"/>
      <c r="H116" s="460"/>
    </row>
    <row r="117" spans="1:8" ht="15.75" thickBot="1">
      <c r="A117" s="472"/>
      <c r="B117" s="473"/>
      <c r="C117" s="474"/>
      <c r="D117" s="464"/>
      <c r="E117" s="433"/>
      <c r="F117" s="434"/>
      <c r="G117" s="435"/>
      <c r="H117" s="465"/>
    </row>
    <row r="118" spans="1:8" ht="15.75" thickBot="1">
      <c r="A118" s="436"/>
      <c r="B118" s="436"/>
      <c r="C118" s="436"/>
      <c r="D118" s="436"/>
      <c r="E118" s="436"/>
      <c r="F118" s="436"/>
      <c r="G118" s="437" t="s">
        <v>86</v>
      </c>
      <c r="H118" s="466">
        <f>SUM(G112:G117)</f>
        <v>0</v>
      </c>
    </row>
    <row r="119" spans="1:8" ht="15.75" thickBot="1">
      <c r="A119" s="508" t="s">
        <v>94</v>
      </c>
      <c r="B119" s="508"/>
      <c r="C119" s="509"/>
      <c r="D119" s="510"/>
      <c r="E119" s="510"/>
      <c r="F119" s="510"/>
      <c r="G119" s="510"/>
      <c r="H119" s="510"/>
    </row>
    <row r="120" spans="1:8">
      <c r="A120" s="511" t="s">
        <v>95</v>
      </c>
      <c r="B120" s="512"/>
      <c r="C120" s="513" t="s">
        <v>627</v>
      </c>
      <c r="D120" s="514" t="s">
        <v>628</v>
      </c>
      <c r="E120" s="514" t="s">
        <v>629</v>
      </c>
      <c r="F120" s="514" t="s">
        <v>630</v>
      </c>
      <c r="G120" s="515" t="s">
        <v>84</v>
      </c>
      <c r="H120" s="516"/>
    </row>
    <row r="121" spans="1:8">
      <c r="A121" s="538" t="s">
        <v>631</v>
      </c>
      <c r="B121" s="539"/>
      <c r="C121" s="694">
        <v>1.3</v>
      </c>
      <c r="D121" s="525"/>
      <c r="E121" s="540"/>
      <c r="F121" s="693">
        <v>35000</v>
      </c>
      <c r="G121" s="528">
        <f>+F121*C121</f>
        <v>45500</v>
      </c>
      <c r="H121" s="529"/>
    </row>
    <row r="122" spans="1:8">
      <c r="A122" s="522"/>
      <c r="B122" s="523"/>
      <c r="C122" s="524"/>
      <c r="D122" s="525"/>
      <c r="E122" s="526"/>
      <c r="F122" s="527"/>
      <c r="G122" s="528"/>
      <c r="H122" s="529"/>
    </row>
    <row r="123" spans="1:8" ht="15.75" thickBot="1">
      <c r="A123" s="530"/>
      <c r="B123" s="531"/>
      <c r="C123" s="532"/>
      <c r="D123" s="533"/>
      <c r="E123" s="534"/>
      <c r="F123" s="535"/>
      <c r="G123" s="532"/>
      <c r="H123" s="529"/>
    </row>
    <row r="124" spans="1:8" ht="15.75" thickBot="1">
      <c r="A124" s="510"/>
      <c r="B124" s="510"/>
      <c r="C124" s="510"/>
      <c r="D124" s="510"/>
      <c r="E124" s="510"/>
      <c r="F124" s="510"/>
      <c r="G124" s="536" t="s">
        <v>86</v>
      </c>
      <c r="H124" s="537">
        <f>SUM(G121:G123)</f>
        <v>45500</v>
      </c>
    </row>
    <row r="125" spans="1:8">
      <c r="A125" s="436"/>
      <c r="B125" s="436"/>
      <c r="C125" s="436"/>
      <c r="D125" s="436"/>
      <c r="E125" s="436"/>
      <c r="F125" s="436"/>
      <c r="G125" s="437"/>
      <c r="H125" s="541"/>
    </row>
    <row r="126" spans="1:8" ht="15.75" thickBot="1">
      <c r="A126" s="450" t="s">
        <v>96</v>
      </c>
      <c r="B126" s="450"/>
      <c r="C126" s="436"/>
      <c r="D126" s="436"/>
      <c r="E126" s="436"/>
      <c r="F126" s="436"/>
      <c r="G126" s="436"/>
      <c r="H126" s="436"/>
    </row>
    <row r="127" spans="1:8">
      <c r="A127" s="476" t="s">
        <v>97</v>
      </c>
      <c r="B127" s="438"/>
      <c r="C127" s="438" t="s">
        <v>98</v>
      </c>
      <c r="D127" s="438" t="s">
        <v>99</v>
      </c>
      <c r="E127" s="442" t="s">
        <v>100</v>
      </c>
      <c r="F127" s="443" t="s">
        <v>83</v>
      </c>
      <c r="G127" s="444" t="s">
        <v>84</v>
      </c>
      <c r="H127" s="477"/>
    </row>
    <row r="128" spans="1:8">
      <c r="A128" s="478" t="s">
        <v>227</v>
      </c>
      <c r="B128" s="542">
        <v>2</v>
      </c>
      <c r="C128" s="479">
        <f>PERSONAL!$E$31</f>
        <v>48800</v>
      </c>
      <c r="D128" s="695">
        <f>PERSONAL!$F$31</f>
        <v>1.7431000000000001</v>
      </c>
      <c r="E128" s="440">
        <f>+D128*C128*B128</f>
        <v>170126.56</v>
      </c>
      <c r="F128" s="440">
        <f>+F107*3</f>
        <v>18</v>
      </c>
      <c r="G128" s="445">
        <f>ROUND(E128/F128,0)</f>
        <v>9451</v>
      </c>
      <c r="H128" s="451"/>
    </row>
    <row r="129" spans="1:8">
      <c r="A129" s="478"/>
      <c r="B129" s="467"/>
      <c r="C129" s="479"/>
      <c r="D129" s="480"/>
      <c r="E129" s="440"/>
      <c r="F129" s="440"/>
      <c r="G129" s="445"/>
      <c r="H129" s="451"/>
    </row>
    <row r="130" spans="1:8">
      <c r="A130" s="478"/>
      <c r="B130" s="468"/>
      <c r="C130" s="430"/>
      <c r="D130" s="459"/>
      <c r="E130" s="430"/>
      <c r="F130" s="440"/>
      <c r="G130" s="445"/>
      <c r="H130" s="451"/>
    </row>
    <row r="131" spans="1:8">
      <c r="A131" s="478"/>
      <c r="B131" s="468"/>
      <c r="C131" s="430"/>
      <c r="D131" s="459"/>
      <c r="E131" s="430"/>
      <c r="F131" s="440"/>
      <c r="G131" s="445"/>
      <c r="H131" s="451"/>
    </row>
    <row r="132" spans="1:8" ht="15.75" thickBot="1">
      <c r="A132" s="481"/>
      <c r="B132" s="474"/>
      <c r="C132" s="474"/>
      <c r="D132" s="474"/>
      <c r="E132" s="474"/>
      <c r="F132" s="474"/>
      <c r="G132" s="482"/>
      <c r="H132" s="482"/>
    </row>
    <row r="133" spans="1:8" ht="15.75" thickBot="1">
      <c r="A133" s="436"/>
      <c r="B133" s="436"/>
      <c r="C133" s="436"/>
      <c r="D133" s="436"/>
      <c r="E133" s="436"/>
      <c r="F133" s="436"/>
      <c r="G133" s="437" t="s">
        <v>86</v>
      </c>
      <c r="H133" s="466">
        <f>SUM(G128:G132)</f>
        <v>9451</v>
      </c>
    </row>
    <row r="134" spans="1:8" ht="15.75" thickBot="1">
      <c r="A134" s="436"/>
      <c r="B134" s="436"/>
      <c r="C134" s="436"/>
      <c r="D134" s="436"/>
      <c r="E134" s="436"/>
      <c r="F134" s="436"/>
      <c r="G134" s="483"/>
      <c r="H134" s="436"/>
    </row>
    <row r="135" spans="1:8" ht="15.75" thickBot="1">
      <c r="A135" s="436"/>
      <c r="B135" s="436"/>
      <c r="C135" s="436"/>
      <c r="D135" s="436"/>
      <c r="E135" s="484" t="s">
        <v>102</v>
      </c>
      <c r="F135" s="485"/>
      <c r="G135" s="485"/>
      <c r="H135" s="466">
        <f>H109+H118+H124+H133</f>
        <v>77240.666666666672</v>
      </c>
    </row>
    <row r="136" spans="1:8" ht="15.75" thickBot="1">
      <c r="A136" s="450" t="s">
        <v>103</v>
      </c>
      <c r="B136" s="450"/>
      <c r="C136" s="436"/>
      <c r="D136" s="436"/>
      <c r="E136" s="436"/>
      <c r="F136" s="436"/>
      <c r="G136" s="436"/>
      <c r="H136" s="436"/>
    </row>
    <row r="137" spans="1:8">
      <c r="A137" s="487" t="s">
        <v>80</v>
      </c>
      <c r="B137" s="488"/>
      <c r="C137" s="488"/>
      <c r="D137" s="488"/>
      <c r="E137" s="489"/>
      <c r="F137" s="490" t="s">
        <v>104</v>
      </c>
      <c r="G137" s="491" t="s">
        <v>105</v>
      </c>
      <c r="H137" s="457"/>
    </row>
    <row r="138" spans="1:8">
      <c r="A138" s="469" t="s">
        <v>106</v>
      </c>
      <c r="B138" s="467"/>
      <c r="C138" s="467"/>
      <c r="D138" s="467"/>
      <c r="E138" s="468"/>
      <c r="F138" s="492">
        <f>PRESUPUESTO!$E$222</f>
        <v>0.109</v>
      </c>
      <c r="G138" s="493">
        <f>+F138*H135</f>
        <v>8419.2326666666668</v>
      </c>
      <c r="H138" s="460"/>
    </row>
    <row r="139" spans="1:8" ht="15.75" thickBot="1">
      <c r="A139" s="472" t="s">
        <v>108</v>
      </c>
      <c r="B139" s="473"/>
      <c r="C139" s="473"/>
      <c r="D139" s="473"/>
      <c r="E139" s="474"/>
      <c r="F139" s="494">
        <f>PRESUPUESTO!$E$223</f>
        <v>0.05</v>
      </c>
      <c r="G139" s="495">
        <f>+F139*H135</f>
        <v>3862.0333333333338</v>
      </c>
      <c r="H139" s="465"/>
    </row>
    <row r="140" spans="1:8" ht="15.75" thickBot="1">
      <c r="A140" s="436"/>
      <c r="B140" s="436"/>
      <c r="C140" s="436"/>
      <c r="D140" s="436"/>
      <c r="E140" s="436"/>
      <c r="F140" s="436"/>
      <c r="G140" s="437" t="s">
        <v>86</v>
      </c>
      <c r="H140" s="496">
        <f>SUM(G138:G139)</f>
        <v>12281.266</v>
      </c>
    </row>
    <row r="141" spans="1:8" ht="15.75" thickBot="1">
      <c r="A141" s="436"/>
      <c r="B141" s="436"/>
      <c r="C141" s="436"/>
      <c r="D141" s="436"/>
      <c r="E141" s="436"/>
      <c r="F141" s="436"/>
      <c r="G141" s="436"/>
      <c r="H141" s="436"/>
    </row>
    <row r="142" spans="1:8" ht="15.75" thickBot="1">
      <c r="A142" s="446"/>
      <c r="B142" s="446"/>
      <c r="C142" s="436"/>
      <c r="D142" s="484" t="s">
        <v>109</v>
      </c>
      <c r="E142" s="485"/>
      <c r="F142" s="485"/>
      <c r="G142" s="485"/>
      <c r="H142" s="466">
        <f>ROUND((H135+H140),0)</f>
        <v>89522</v>
      </c>
    </row>
    <row r="144" spans="1:8">
      <c r="A144" s="186" t="s">
        <v>77</v>
      </c>
      <c r="B144" s="446"/>
      <c r="C144" s="446"/>
      <c r="D144" s="446"/>
      <c r="E144" s="446"/>
      <c r="F144" s="446"/>
      <c r="G144" s="446"/>
      <c r="H144" s="446"/>
    </row>
    <row r="145" spans="1:8" ht="15.75" thickBot="1">
      <c r="A145" s="446"/>
      <c r="B145" s="446"/>
      <c r="C145" s="446"/>
      <c r="D145" s="446"/>
      <c r="E145" s="446"/>
      <c r="F145" s="446"/>
      <c r="G145" s="446"/>
      <c r="H145" s="446"/>
    </row>
    <row r="146" spans="1:8">
      <c r="A146" s="1348" t="s">
        <v>213</v>
      </c>
      <c r="B146" s="1349"/>
      <c r="C146" s="1350"/>
      <c r="D146" s="448"/>
      <c r="E146" s="448"/>
      <c r="F146" s="448"/>
      <c r="G146" s="448"/>
      <c r="H146" s="449"/>
    </row>
    <row r="147" spans="1:8">
      <c r="A147" s="1351"/>
      <c r="B147" s="1352"/>
      <c r="C147" s="1353"/>
      <c r="D147" s="436"/>
      <c r="E147" s="450" t="s">
        <v>78</v>
      </c>
      <c r="F147" s="436"/>
      <c r="G147" s="436"/>
      <c r="H147" s="451"/>
    </row>
    <row r="148" spans="1:8" ht="15.75" thickBot="1">
      <c r="A148" s="1354"/>
      <c r="B148" s="1355"/>
      <c r="C148" s="1356"/>
      <c r="D148" s="1360"/>
      <c r="E148" s="1361"/>
      <c r="F148" s="1361"/>
      <c r="G148" s="1361"/>
      <c r="H148" s="1362"/>
    </row>
    <row r="149" spans="1:8">
      <c r="A149" s="455"/>
      <c r="B149" s="436"/>
      <c r="C149" s="436"/>
      <c r="D149" s="436"/>
      <c r="E149" s="436"/>
      <c r="F149" s="436"/>
      <c r="G149" s="436"/>
      <c r="H149" s="436"/>
    </row>
    <row r="150" spans="1:8">
      <c r="A150" s="455" t="s">
        <v>620</v>
      </c>
      <c r="B150" s="456"/>
      <c r="C150" s="436"/>
      <c r="D150" s="446"/>
      <c r="E150" s="456"/>
      <c r="F150" s="446"/>
      <c r="G150" s="456" t="s">
        <v>632</v>
      </c>
      <c r="H150" s="436"/>
    </row>
    <row r="151" spans="1:8">
      <c r="A151" s="455" t="s">
        <v>634</v>
      </c>
      <c r="B151" s="456"/>
      <c r="C151" s="436"/>
      <c r="D151" s="456"/>
      <c r="E151" s="456"/>
      <c r="F151" s="456"/>
      <c r="G151" s="696" t="s">
        <v>214</v>
      </c>
      <c r="H151" s="436"/>
    </row>
    <row r="152" spans="1:8">
      <c r="A152" s="456"/>
      <c r="B152" s="456"/>
      <c r="C152" s="436"/>
      <c r="D152" s="456"/>
      <c r="E152" s="456"/>
      <c r="F152" s="456"/>
      <c r="G152" s="456"/>
      <c r="H152" s="436"/>
    </row>
    <row r="153" spans="1:8" ht="15.75" thickBot="1">
      <c r="A153" s="450" t="s">
        <v>79</v>
      </c>
      <c r="B153" s="450"/>
      <c r="C153" s="436"/>
      <c r="D153" s="436"/>
      <c r="E153" s="436"/>
      <c r="F153" s="436"/>
      <c r="G153" s="436"/>
      <c r="H153" s="436"/>
    </row>
    <row r="154" spans="1:8">
      <c r="A154" s="1345" t="s">
        <v>80</v>
      </c>
      <c r="B154" s="1346"/>
      <c r="C154" s="1347"/>
      <c r="D154" s="438" t="s">
        <v>81</v>
      </c>
      <c r="E154" s="438" t="s">
        <v>82</v>
      </c>
      <c r="F154" s="438" t="s">
        <v>83</v>
      </c>
      <c r="G154" s="439" t="s">
        <v>84</v>
      </c>
      <c r="H154" s="457"/>
    </row>
    <row r="155" spans="1:8">
      <c r="A155" s="1357" t="s">
        <v>85</v>
      </c>
      <c r="B155" s="1358"/>
      <c r="C155" s="1359"/>
      <c r="D155" s="459"/>
      <c r="E155" s="440"/>
      <c r="F155" s="440"/>
      <c r="G155" s="432">
        <f>ROUND(H182*0.05,0)</f>
        <v>169</v>
      </c>
      <c r="H155" s="460"/>
    </row>
    <row r="156" spans="1:8">
      <c r="A156" s="1357" t="s">
        <v>625</v>
      </c>
      <c r="B156" s="1358"/>
      <c r="C156" s="1359"/>
      <c r="D156" s="461" t="s">
        <v>626</v>
      </c>
      <c r="E156" s="462">
        <v>130000</v>
      </c>
      <c r="F156" s="497">
        <f>+F177</f>
        <v>70</v>
      </c>
      <c r="G156" s="432">
        <f>E156/F156</f>
        <v>1857.1428571428571</v>
      </c>
      <c r="H156" s="460"/>
    </row>
    <row r="157" spans="1:8" ht="15.75" thickBot="1">
      <c r="A157" s="1342" t="s">
        <v>635</v>
      </c>
      <c r="B157" s="1343"/>
      <c r="C157" s="1344"/>
      <c r="D157" s="464" t="s">
        <v>626</v>
      </c>
      <c r="E157" s="433">
        <v>100000</v>
      </c>
      <c r="F157" s="434">
        <f>+F156</f>
        <v>70</v>
      </c>
      <c r="G157" s="441">
        <f>E157/F157</f>
        <v>1428.5714285714287</v>
      </c>
      <c r="H157" s="465"/>
    </row>
    <row r="158" spans="1:8" ht="15.75" thickBot="1">
      <c r="A158" s="436"/>
      <c r="B158" s="436"/>
      <c r="C158" s="436"/>
      <c r="D158" s="436"/>
      <c r="E158" s="436"/>
      <c r="F158" s="436"/>
      <c r="G158" s="437" t="s">
        <v>86</v>
      </c>
      <c r="H158" s="466">
        <f>SUM(G155:G157)</f>
        <v>3454.7142857142858</v>
      </c>
    </row>
    <row r="159" spans="1:8" ht="15.75" thickBot="1">
      <c r="A159" s="450" t="s">
        <v>87</v>
      </c>
      <c r="B159" s="450"/>
      <c r="C159" s="436"/>
      <c r="D159" s="436"/>
      <c r="E159" s="436"/>
      <c r="F159" s="436"/>
      <c r="G159" s="436"/>
      <c r="H159" s="436"/>
    </row>
    <row r="160" spans="1:8">
      <c r="A160" s="1345" t="s">
        <v>80</v>
      </c>
      <c r="B160" s="1346"/>
      <c r="C160" s="1347"/>
      <c r="D160" s="438" t="s">
        <v>88</v>
      </c>
      <c r="E160" s="438" t="s">
        <v>89</v>
      </c>
      <c r="F160" s="438" t="s">
        <v>90</v>
      </c>
      <c r="G160" s="439" t="s">
        <v>84</v>
      </c>
      <c r="H160" s="457"/>
    </row>
    <row r="161" spans="1:8">
      <c r="A161" s="522" t="s">
        <v>92</v>
      </c>
      <c r="B161" s="523"/>
      <c r="C161" s="539"/>
      <c r="D161" s="525" t="s">
        <v>636</v>
      </c>
      <c r="E161" s="527">
        <v>80</v>
      </c>
      <c r="F161" s="543">
        <v>2</v>
      </c>
      <c r="G161" s="432">
        <f>E161*F161</f>
        <v>160</v>
      </c>
      <c r="H161" s="460"/>
    </row>
    <row r="162" spans="1:8">
      <c r="A162" s="469"/>
      <c r="B162" s="467"/>
      <c r="C162" s="468"/>
      <c r="D162" s="459"/>
      <c r="E162" s="470"/>
      <c r="F162" s="440"/>
      <c r="G162" s="432">
        <f>F162*E162</f>
        <v>0</v>
      </c>
      <c r="H162" s="460"/>
    </row>
    <row r="163" spans="1:8">
      <c r="A163" s="469"/>
      <c r="B163" s="467"/>
      <c r="C163" s="471"/>
      <c r="D163" s="459"/>
      <c r="E163" s="470"/>
      <c r="F163" s="440"/>
      <c r="G163" s="432">
        <f>F163*E163</f>
        <v>0</v>
      </c>
      <c r="H163" s="460"/>
    </row>
    <row r="164" spans="1:8">
      <c r="A164" s="469" t="s">
        <v>93</v>
      </c>
      <c r="B164" s="467"/>
      <c r="C164" s="471">
        <v>0.05</v>
      </c>
      <c r="D164" s="459"/>
      <c r="E164" s="430"/>
      <c r="F164" s="431"/>
      <c r="G164" s="432">
        <f>SUM(G161:G163)*C164</f>
        <v>8</v>
      </c>
      <c r="H164" s="460"/>
    </row>
    <row r="165" spans="1:8">
      <c r="A165" s="469"/>
      <c r="B165" s="467"/>
      <c r="C165" s="468"/>
      <c r="D165" s="459"/>
      <c r="E165" s="430"/>
      <c r="F165" s="431"/>
      <c r="G165" s="432"/>
      <c r="H165" s="460"/>
    </row>
    <row r="166" spans="1:8" ht="15.75" thickBot="1">
      <c r="A166" s="472"/>
      <c r="B166" s="473"/>
      <c r="C166" s="474"/>
      <c r="D166" s="464"/>
      <c r="E166" s="433"/>
      <c r="F166" s="434"/>
      <c r="G166" s="435"/>
      <c r="H166" s="465"/>
    </row>
    <row r="167" spans="1:8" ht="15.75" thickBot="1">
      <c r="A167" s="436"/>
      <c r="B167" s="436"/>
      <c r="C167" s="436"/>
      <c r="D167" s="436"/>
      <c r="E167" s="436"/>
      <c r="F167" s="436"/>
      <c r="G167" s="437" t="s">
        <v>86</v>
      </c>
      <c r="H167" s="466">
        <f>SUM(G161:G166)</f>
        <v>168</v>
      </c>
    </row>
    <row r="168" spans="1:8" ht="15.75" thickBot="1">
      <c r="A168" s="508" t="s">
        <v>94</v>
      </c>
      <c r="B168" s="508"/>
      <c r="C168" s="509"/>
      <c r="D168" s="510"/>
      <c r="E168" s="510"/>
      <c r="F168" s="510"/>
      <c r="G168" s="510"/>
      <c r="H168" s="510"/>
    </row>
    <row r="169" spans="1:8">
      <c r="A169" s="511" t="s">
        <v>95</v>
      </c>
      <c r="B169" s="512"/>
      <c r="C169" s="513" t="s">
        <v>627</v>
      </c>
      <c r="D169" s="514" t="s">
        <v>628</v>
      </c>
      <c r="E169" s="514" t="s">
        <v>629</v>
      </c>
      <c r="F169" s="514" t="s">
        <v>630</v>
      </c>
      <c r="G169" s="515" t="s">
        <v>84</v>
      </c>
      <c r="H169" s="516"/>
    </row>
    <row r="170" spans="1:8">
      <c r="A170" s="538"/>
      <c r="B170" s="539"/>
      <c r="C170" s="524"/>
      <c r="D170" s="525"/>
      <c r="E170" s="540"/>
      <c r="F170" s="528"/>
      <c r="G170" s="528">
        <f>+F170*E170</f>
        <v>0</v>
      </c>
      <c r="H170" s="529"/>
    </row>
    <row r="171" spans="1:8">
      <c r="A171" s="522"/>
      <c r="B171" s="523"/>
      <c r="C171" s="544"/>
      <c r="D171" s="525"/>
      <c r="E171" s="526"/>
      <c r="F171" s="528"/>
      <c r="G171" s="528"/>
      <c r="H171" s="529"/>
    </row>
    <row r="172" spans="1:8" ht="15.75" thickBot="1">
      <c r="A172" s="530"/>
      <c r="B172" s="531"/>
      <c r="C172" s="532"/>
      <c r="D172" s="533"/>
      <c r="E172" s="534"/>
      <c r="F172" s="535"/>
      <c r="G172" s="532"/>
      <c r="H172" s="529"/>
    </row>
    <row r="173" spans="1:8" ht="15.75" thickBot="1">
      <c r="A173" s="510"/>
      <c r="B173" s="510"/>
      <c r="C173" s="510"/>
      <c r="D173" s="510"/>
      <c r="E173" s="510"/>
      <c r="F173" s="510"/>
      <c r="G173" s="536" t="s">
        <v>86</v>
      </c>
      <c r="H173" s="537">
        <f>SUM(G170:G172)</f>
        <v>0</v>
      </c>
    </row>
    <row r="174" spans="1:8">
      <c r="A174" s="436"/>
      <c r="B174" s="436"/>
      <c r="C174" s="436"/>
      <c r="D174" s="436"/>
      <c r="E174" s="436"/>
      <c r="F174" s="436"/>
      <c r="G174" s="437"/>
      <c r="H174" s="541"/>
    </row>
    <row r="175" spans="1:8" ht="15.75" thickBot="1">
      <c r="A175" s="450" t="s">
        <v>96</v>
      </c>
      <c r="B175" s="450"/>
      <c r="C175" s="436"/>
      <c r="D175" s="436"/>
      <c r="E175" s="436"/>
      <c r="F175" s="436"/>
      <c r="G175" s="436"/>
      <c r="H175" s="436"/>
    </row>
    <row r="176" spans="1:8">
      <c r="A176" s="476" t="s">
        <v>97</v>
      </c>
      <c r="B176" s="438"/>
      <c r="C176" s="438" t="s">
        <v>98</v>
      </c>
      <c r="D176" s="438" t="s">
        <v>99</v>
      </c>
      <c r="E176" s="442" t="s">
        <v>100</v>
      </c>
      <c r="F176" s="443" t="s">
        <v>83</v>
      </c>
      <c r="G176" s="444" t="s">
        <v>84</v>
      </c>
      <c r="H176" s="477"/>
    </row>
    <row r="177" spans="1:8">
      <c r="A177" s="478" t="s">
        <v>227</v>
      </c>
      <c r="B177" s="542">
        <v>1</v>
      </c>
      <c r="C177" s="479">
        <f>PERSONAL!$E$31</f>
        <v>48800</v>
      </c>
      <c r="D177" s="480">
        <f>PERSONAL!$F$31</f>
        <v>1.7431000000000001</v>
      </c>
      <c r="E177" s="440">
        <f>+D177*C177*B177</f>
        <v>85063.28</v>
      </c>
      <c r="F177" s="440">
        <v>70</v>
      </c>
      <c r="G177" s="445">
        <f>ROUND(E177/F177,0)</f>
        <v>1215</v>
      </c>
      <c r="H177" s="451"/>
    </row>
    <row r="178" spans="1:8">
      <c r="A178" s="478" t="s">
        <v>101</v>
      </c>
      <c r="B178" s="467"/>
      <c r="C178" s="479">
        <f>PERSONAL!$E$32</f>
        <v>87200</v>
      </c>
      <c r="D178" s="480">
        <f>PERSONAL!$F$31</f>
        <v>1.7431000000000001</v>
      </c>
      <c r="E178" s="440">
        <f>+D178*C178</f>
        <v>151998.32</v>
      </c>
      <c r="F178" s="440">
        <f>+F177</f>
        <v>70</v>
      </c>
      <c r="G178" s="445">
        <f>ROUND(E178/F178,0)</f>
        <v>2171</v>
      </c>
      <c r="H178" s="451"/>
    </row>
    <row r="179" spans="1:8">
      <c r="A179" s="478"/>
      <c r="B179" s="468"/>
      <c r="C179" s="430"/>
      <c r="D179" s="459"/>
      <c r="E179" s="430"/>
      <c r="F179" s="440"/>
      <c r="G179" s="445"/>
      <c r="H179" s="451"/>
    </row>
    <row r="180" spans="1:8">
      <c r="A180" s="478"/>
      <c r="B180" s="468"/>
      <c r="C180" s="430"/>
      <c r="D180" s="459"/>
      <c r="E180" s="430"/>
      <c r="F180" s="440"/>
      <c r="G180" s="445"/>
      <c r="H180" s="451"/>
    </row>
    <row r="181" spans="1:8" ht="15.75" thickBot="1">
      <c r="A181" s="481"/>
      <c r="B181" s="474"/>
      <c r="C181" s="474"/>
      <c r="D181" s="474"/>
      <c r="E181" s="474"/>
      <c r="F181" s="474"/>
      <c r="G181" s="482"/>
      <c r="H181" s="482"/>
    </row>
    <row r="182" spans="1:8" ht="15.75" thickBot="1">
      <c r="A182" s="436"/>
      <c r="B182" s="436"/>
      <c r="C182" s="436"/>
      <c r="D182" s="436"/>
      <c r="E182" s="436"/>
      <c r="F182" s="436"/>
      <c r="G182" s="437" t="s">
        <v>86</v>
      </c>
      <c r="H182" s="466">
        <f>SUM(G177:G181)</f>
        <v>3386</v>
      </c>
    </row>
    <row r="183" spans="1:8" ht="15.75" thickBot="1">
      <c r="A183" s="436"/>
      <c r="B183" s="436"/>
      <c r="C183" s="436"/>
      <c r="D183" s="436"/>
      <c r="E183" s="436"/>
      <c r="F183" s="436"/>
      <c r="G183" s="483"/>
      <c r="H183" s="436"/>
    </row>
    <row r="184" spans="1:8" ht="15.75" thickBot="1">
      <c r="A184" s="436"/>
      <c r="B184" s="436"/>
      <c r="C184" s="436"/>
      <c r="D184" s="436"/>
      <c r="E184" s="484" t="s">
        <v>102</v>
      </c>
      <c r="F184" s="485"/>
      <c r="G184" s="485"/>
      <c r="H184" s="466">
        <f>H158+H167+H173+H182</f>
        <v>7008.7142857142862</v>
      </c>
    </row>
    <row r="185" spans="1:8" ht="15.75" thickBot="1">
      <c r="A185" s="450" t="s">
        <v>103</v>
      </c>
      <c r="B185" s="450"/>
      <c r="C185" s="436"/>
      <c r="D185" s="436"/>
      <c r="E185" s="436"/>
      <c r="F185" s="436"/>
      <c r="G185" s="436"/>
      <c r="H185" s="436"/>
    </row>
    <row r="186" spans="1:8">
      <c r="A186" s="487" t="s">
        <v>80</v>
      </c>
      <c r="B186" s="488"/>
      <c r="C186" s="488"/>
      <c r="D186" s="488"/>
      <c r="E186" s="489"/>
      <c r="F186" s="490" t="s">
        <v>104</v>
      </c>
      <c r="G186" s="491" t="s">
        <v>105</v>
      </c>
      <c r="H186" s="457"/>
    </row>
    <row r="187" spans="1:8">
      <c r="A187" s="469" t="s">
        <v>106</v>
      </c>
      <c r="B187" s="467"/>
      <c r="C187" s="467"/>
      <c r="D187" s="467"/>
      <c r="E187" s="468"/>
      <c r="F187" s="492">
        <f>PRESUPUESTO!$E$222</f>
        <v>0.109</v>
      </c>
      <c r="G187" s="493">
        <f>+F187*H184</f>
        <v>763.94985714285724</v>
      </c>
      <c r="H187" s="460"/>
    </row>
    <row r="188" spans="1:8" ht="15.75" thickBot="1">
      <c r="A188" s="472" t="s">
        <v>108</v>
      </c>
      <c r="B188" s="473"/>
      <c r="C188" s="473"/>
      <c r="D188" s="473"/>
      <c r="E188" s="474"/>
      <c r="F188" s="494">
        <f>PRESUPUESTO!$E$223</f>
        <v>0.05</v>
      </c>
      <c r="G188" s="495">
        <f>+F188*H184</f>
        <v>350.43571428571431</v>
      </c>
      <c r="H188" s="465"/>
    </row>
    <row r="189" spans="1:8" ht="15.75" thickBot="1">
      <c r="A189" s="436"/>
      <c r="B189" s="436"/>
      <c r="C189" s="436"/>
      <c r="D189" s="436"/>
      <c r="E189" s="436"/>
      <c r="F189" s="436"/>
      <c r="G189" s="437" t="s">
        <v>86</v>
      </c>
      <c r="H189" s="496">
        <f>SUM(G187:G188)</f>
        <v>1114.3855714285714</v>
      </c>
    </row>
    <row r="190" spans="1:8" ht="15.75" thickBot="1">
      <c r="A190" s="436"/>
      <c r="B190" s="436"/>
      <c r="C190" s="436"/>
      <c r="D190" s="436"/>
      <c r="E190" s="436"/>
      <c r="F190" s="436"/>
      <c r="G190" s="436"/>
      <c r="H190" s="436"/>
    </row>
    <row r="191" spans="1:8" ht="15.75" thickBot="1">
      <c r="A191" s="446"/>
      <c r="B191" s="446"/>
      <c r="C191" s="436"/>
      <c r="D191" s="484" t="s">
        <v>109</v>
      </c>
      <c r="E191" s="485"/>
      <c r="F191" s="485"/>
      <c r="G191" s="485"/>
      <c r="H191" s="466">
        <f>ROUND((H184+H189),0)</f>
        <v>8123</v>
      </c>
    </row>
    <row r="193" spans="1:8">
      <c r="A193" s="186" t="s">
        <v>77</v>
      </c>
      <c r="B193" s="446"/>
      <c r="C193" s="446"/>
      <c r="D193" s="446"/>
      <c r="E193" s="446"/>
      <c r="F193" s="446"/>
      <c r="G193" s="446"/>
      <c r="H193" s="446"/>
    </row>
    <row r="194" spans="1:8" ht="15.75" thickBot="1">
      <c r="A194" s="446"/>
      <c r="B194" s="446"/>
      <c r="C194" s="446"/>
      <c r="D194" s="446"/>
      <c r="E194" s="446"/>
      <c r="F194" s="446"/>
      <c r="G194" s="446"/>
      <c r="H194" s="446"/>
    </row>
    <row r="195" spans="1:8">
      <c r="A195" s="1348" t="s">
        <v>213</v>
      </c>
      <c r="B195" s="1349"/>
      <c r="C195" s="1350"/>
      <c r="D195" s="448"/>
      <c r="E195" s="448"/>
      <c r="F195" s="448"/>
      <c r="G195" s="448"/>
      <c r="H195" s="449"/>
    </row>
    <row r="196" spans="1:8">
      <c r="A196" s="1351"/>
      <c r="B196" s="1352"/>
      <c r="C196" s="1353"/>
      <c r="D196" s="436"/>
      <c r="E196" s="450" t="s">
        <v>78</v>
      </c>
      <c r="F196" s="436"/>
      <c r="G196" s="436"/>
      <c r="H196" s="451"/>
    </row>
    <row r="197" spans="1:8" ht="15.75" thickBot="1">
      <c r="A197" s="1354"/>
      <c r="B197" s="1355"/>
      <c r="C197" s="1356"/>
      <c r="D197" s="1360"/>
      <c r="E197" s="1361"/>
      <c r="F197" s="1361"/>
      <c r="G197" s="1361"/>
      <c r="H197" s="1362"/>
    </row>
    <row r="198" spans="1:8">
      <c r="A198" s="455"/>
      <c r="B198" s="436"/>
      <c r="C198" s="436"/>
      <c r="D198" s="436"/>
      <c r="E198" s="436"/>
      <c r="F198" s="436"/>
      <c r="G198" s="436"/>
      <c r="H198" s="436"/>
    </row>
    <row r="199" spans="1:8">
      <c r="A199" s="455" t="s">
        <v>641</v>
      </c>
      <c r="B199" s="456"/>
      <c r="C199" s="436"/>
      <c r="D199" s="446"/>
      <c r="E199" s="456"/>
      <c r="F199" s="446"/>
      <c r="G199" s="456" t="s">
        <v>643</v>
      </c>
      <c r="H199" s="436"/>
    </row>
    <row r="200" spans="1:8">
      <c r="A200" s="455" t="s">
        <v>642</v>
      </c>
      <c r="B200" s="456"/>
      <c r="C200" s="436"/>
      <c r="D200" s="456"/>
      <c r="E200" s="456"/>
      <c r="F200" s="456"/>
      <c r="G200" s="456" t="s">
        <v>223</v>
      </c>
      <c r="H200" s="436"/>
    </row>
    <row r="201" spans="1:8">
      <c r="A201" s="456"/>
      <c r="B201" s="456"/>
      <c r="C201" s="436"/>
      <c r="D201" s="456"/>
      <c r="E201" s="456"/>
      <c r="F201" s="456"/>
      <c r="G201" s="456"/>
      <c r="H201" s="436"/>
    </row>
    <row r="202" spans="1:8" ht="15.75" thickBot="1">
      <c r="A202" s="450" t="s">
        <v>79</v>
      </c>
      <c r="B202" s="450"/>
      <c r="C202" s="436"/>
      <c r="D202" s="436"/>
      <c r="E202" s="436"/>
      <c r="F202" s="436"/>
      <c r="G202" s="436"/>
      <c r="H202" s="436"/>
    </row>
    <row r="203" spans="1:8">
      <c r="A203" s="1345" t="s">
        <v>80</v>
      </c>
      <c r="B203" s="1346"/>
      <c r="C203" s="1347"/>
      <c r="D203" s="438" t="s">
        <v>81</v>
      </c>
      <c r="E203" s="438" t="s">
        <v>82</v>
      </c>
      <c r="F203" s="438" t="s">
        <v>83</v>
      </c>
      <c r="G203" s="444" t="s">
        <v>84</v>
      </c>
      <c r="H203" s="457"/>
    </row>
    <row r="204" spans="1:8">
      <c r="A204" s="1357" t="s">
        <v>85</v>
      </c>
      <c r="B204" s="1358"/>
      <c r="C204" s="1359"/>
      <c r="D204" s="459"/>
      <c r="E204" s="440"/>
      <c r="F204" s="440"/>
      <c r="G204" s="445">
        <f>ROUND(H230*0.05,0)</f>
        <v>508</v>
      </c>
      <c r="H204" s="460"/>
    </row>
    <row r="205" spans="1:8">
      <c r="A205" s="1368" t="s">
        <v>645</v>
      </c>
      <c r="B205" s="1369"/>
      <c r="C205" s="1370"/>
      <c r="D205" s="461"/>
      <c r="E205" s="462">
        <v>90000</v>
      </c>
      <c r="F205" s="497">
        <v>100</v>
      </c>
      <c r="G205" s="445">
        <f>E205/F205</f>
        <v>900</v>
      </c>
      <c r="H205" s="460"/>
    </row>
    <row r="206" spans="1:8">
      <c r="A206" s="1368" t="s">
        <v>635</v>
      </c>
      <c r="B206" s="1369"/>
      <c r="C206" s="1370"/>
      <c r="D206" s="461"/>
      <c r="E206" s="462">
        <f>110000*1.19</f>
        <v>130900</v>
      </c>
      <c r="F206" s="497">
        <v>12</v>
      </c>
      <c r="G206" s="445">
        <f>E206/F206</f>
        <v>10908.333333333334</v>
      </c>
      <c r="H206" s="460"/>
    </row>
    <row r="207" spans="1:8" ht="15.75" thickBot="1">
      <c r="A207" s="1371" t="s">
        <v>646</v>
      </c>
      <c r="B207" s="1372"/>
      <c r="C207" s="1373"/>
      <c r="D207" s="464"/>
      <c r="E207" s="433">
        <v>169000</v>
      </c>
      <c r="F207" s="434">
        <v>12</v>
      </c>
      <c r="G207" s="441">
        <f>E207/F207</f>
        <v>14083.333333333334</v>
      </c>
      <c r="H207" s="465"/>
    </row>
    <row r="208" spans="1:8" ht="15.75" thickBot="1">
      <c r="A208" s="436"/>
      <c r="B208" s="436"/>
      <c r="C208" s="436"/>
      <c r="D208" s="436"/>
      <c r="E208" s="436"/>
      <c r="F208" s="436"/>
      <c r="G208" s="437" t="s">
        <v>86</v>
      </c>
      <c r="H208" s="496">
        <f>SUM(G204:G207)</f>
        <v>26399.666666666668</v>
      </c>
    </row>
    <row r="209" spans="1:10" ht="15.75" thickBot="1">
      <c r="A209" s="450" t="s">
        <v>87</v>
      </c>
      <c r="B209" s="450"/>
      <c r="C209" s="436"/>
      <c r="D209" s="436"/>
      <c r="E209" s="436"/>
      <c r="F209" s="436"/>
      <c r="G209" s="436"/>
      <c r="H209" s="436"/>
    </row>
    <row r="210" spans="1:10">
      <c r="A210" s="1345" t="s">
        <v>80</v>
      </c>
      <c r="B210" s="1346"/>
      <c r="C210" s="1347"/>
      <c r="D210" s="438" t="s">
        <v>88</v>
      </c>
      <c r="E210" s="438" t="s">
        <v>89</v>
      </c>
      <c r="F210" s="438" t="s">
        <v>90</v>
      </c>
      <c r="G210" s="439" t="s">
        <v>84</v>
      </c>
      <c r="H210" s="457"/>
    </row>
    <row r="211" spans="1:10">
      <c r="A211" s="458" t="s">
        <v>644</v>
      </c>
      <c r="B211" s="467"/>
      <c r="C211" s="468"/>
      <c r="D211" s="459" t="s">
        <v>91</v>
      </c>
      <c r="E211" s="430">
        <f>MATERIALES!C16</f>
        <v>98960.400000000009</v>
      </c>
      <c r="F211" s="440">
        <v>1.3</v>
      </c>
      <c r="G211" s="432">
        <f>E211*F211</f>
        <v>128648.52000000002</v>
      </c>
      <c r="H211" s="460"/>
    </row>
    <row r="212" spans="1:10">
      <c r="A212" s="469"/>
      <c r="B212" s="467"/>
      <c r="C212" s="468"/>
      <c r="D212" s="459"/>
      <c r="E212" s="470"/>
      <c r="F212" s="440"/>
      <c r="G212" s="432">
        <f>F212*E212</f>
        <v>0</v>
      </c>
      <c r="H212" s="460"/>
    </row>
    <row r="213" spans="1:10">
      <c r="A213" s="469"/>
      <c r="B213" s="467"/>
      <c r="C213" s="471"/>
      <c r="D213" s="459"/>
      <c r="E213" s="470"/>
      <c r="F213" s="440"/>
      <c r="G213" s="432">
        <f>F213*E213</f>
        <v>0</v>
      </c>
      <c r="H213" s="460"/>
    </row>
    <row r="214" spans="1:10">
      <c r="A214" s="469" t="s">
        <v>93</v>
      </c>
      <c r="B214" s="467"/>
      <c r="C214" s="471">
        <v>0.05</v>
      </c>
      <c r="D214" s="459"/>
      <c r="E214" s="430"/>
      <c r="F214" s="431"/>
      <c r="G214" s="432">
        <f>SUM(G211:G213)*C214</f>
        <v>6432.4260000000013</v>
      </c>
      <c r="H214" s="460"/>
    </row>
    <row r="215" spans="1:10">
      <c r="A215" s="469"/>
      <c r="B215" s="467"/>
      <c r="C215" s="468"/>
      <c r="D215" s="459"/>
      <c r="E215" s="430"/>
      <c r="F215" s="431"/>
      <c r="G215" s="432"/>
      <c r="H215" s="460"/>
    </row>
    <row r="216" spans="1:10" ht="15.75" thickBot="1">
      <c r="A216" s="472"/>
      <c r="B216" s="473"/>
      <c r="C216" s="474"/>
      <c r="D216" s="464"/>
      <c r="E216" s="433"/>
      <c r="F216" s="434"/>
      <c r="G216" s="435"/>
      <c r="H216" s="465"/>
    </row>
    <row r="217" spans="1:10" ht="15.75" thickBot="1">
      <c r="A217" s="436"/>
      <c r="B217" s="436"/>
      <c r="C217" s="436"/>
      <c r="D217" s="436"/>
      <c r="E217" s="436"/>
      <c r="F217" s="436"/>
      <c r="G217" s="437" t="s">
        <v>86</v>
      </c>
      <c r="H217" s="466">
        <f>SUM(G211:G216)</f>
        <v>135080.94600000003</v>
      </c>
    </row>
    <row r="218" spans="1:10" ht="15.75" thickBot="1">
      <c r="A218" s="450" t="s">
        <v>94</v>
      </c>
      <c r="B218" s="450"/>
      <c r="C218" s="436"/>
      <c r="D218" s="436"/>
      <c r="E218" s="436"/>
      <c r="F218" s="436"/>
      <c r="G218" s="436"/>
      <c r="H218" s="436"/>
      <c r="J218" s="486"/>
    </row>
    <row r="219" spans="1:10">
      <c r="A219" s="1345" t="s">
        <v>95</v>
      </c>
      <c r="B219" s="1346"/>
      <c r="C219" s="1347"/>
      <c r="D219" s="438" t="s">
        <v>88</v>
      </c>
      <c r="E219" s="438" t="s">
        <v>89</v>
      </c>
      <c r="F219" s="438" t="s">
        <v>90</v>
      </c>
      <c r="G219" s="439" t="s">
        <v>84</v>
      </c>
      <c r="H219" s="457"/>
    </row>
    <row r="220" spans="1:10">
      <c r="A220" s="458" t="s">
        <v>667</v>
      </c>
      <c r="B220" s="467"/>
      <c r="C220" s="468"/>
      <c r="D220" s="459" t="s">
        <v>668</v>
      </c>
      <c r="E220" s="430">
        <v>800000</v>
      </c>
      <c r="F220" s="440">
        <f>4/360</f>
        <v>1.1111111111111112E-2</v>
      </c>
      <c r="G220" s="432">
        <f>E220*F220</f>
        <v>8888.8888888888887</v>
      </c>
      <c r="H220" s="460"/>
    </row>
    <row r="221" spans="1:10" ht="15.75" thickBot="1">
      <c r="A221" s="1342" t="s">
        <v>666</v>
      </c>
      <c r="B221" s="1343"/>
      <c r="C221" s="1344"/>
      <c r="D221" s="475" t="s">
        <v>91</v>
      </c>
      <c r="E221" s="697">
        <v>35000</v>
      </c>
      <c r="F221" s="434">
        <f>+F211</f>
        <v>1.3</v>
      </c>
      <c r="G221" s="441">
        <f>+E221*F221</f>
        <v>45500</v>
      </c>
      <c r="H221" s="460"/>
    </row>
    <row r="222" spans="1:10" ht="15.75" thickBot="1">
      <c r="A222" s="436"/>
      <c r="B222" s="436"/>
      <c r="C222" s="436"/>
      <c r="D222" s="436"/>
      <c r="E222" s="436"/>
      <c r="F222" s="436"/>
      <c r="G222" s="437" t="s">
        <v>86</v>
      </c>
      <c r="H222" s="466">
        <f>SUM(G220:G221)</f>
        <v>54388.888888888891</v>
      </c>
    </row>
    <row r="223" spans="1:10" ht="15.75" thickBot="1">
      <c r="A223" s="450" t="s">
        <v>96</v>
      </c>
      <c r="B223" s="450"/>
      <c r="C223" s="436"/>
      <c r="D223" s="436"/>
      <c r="E223" s="436"/>
      <c r="F223" s="436"/>
      <c r="G223" s="436"/>
      <c r="H223" s="436"/>
    </row>
    <row r="224" spans="1:10">
      <c r="A224" s="476" t="s">
        <v>97</v>
      </c>
      <c r="B224" s="438"/>
      <c r="C224" s="438" t="s">
        <v>98</v>
      </c>
      <c r="D224" s="438" t="s">
        <v>99</v>
      </c>
      <c r="E224" s="442" t="s">
        <v>100</v>
      </c>
      <c r="F224" s="443" t="s">
        <v>83</v>
      </c>
      <c r="G224" s="444" t="s">
        <v>84</v>
      </c>
      <c r="H224" s="477"/>
    </row>
    <row r="225" spans="1:8">
      <c r="A225" s="478" t="s">
        <v>227</v>
      </c>
      <c r="B225" s="468"/>
      <c r="C225" s="479">
        <v>44000</v>
      </c>
      <c r="D225" s="480">
        <v>1.8769294394636016</v>
      </c>
      <c r="E225" s="440">
        <f>+D225*C225</f>
        <v>82584.895336398477</v>
      </c>
      <c r="F225" s="686">
        <v>25</v>
      </c>
      <c r="G225" s="445">
        <f>ROUND(E225/F225,0)</f>
        <v>3303</v>
      </c>
      <c r="H225" s="451"/>
    </row>
    <row r="226" spans="1:8">
      <c r="A226" s="478" t="s">
        <v>101</v>
      </c>
      <c r="B226" s="467"/>
      <c r="C226" s="479">
        <v>91200</v>
      </c>
      <c r="D226" s="480">
        <v>1.8769294394636016</v>
      </c>
      <c r="E226" s="440">
        <f>+D226*C226</f>
        <v>171175.96487908045</v>
      </c>
      <c r="F226" s="440">
        <f>+F225</f>
        <v>25</v>
      </c>
      <c r="G226" s="445">
        <f>ROUND(E226/F226,0)</f>
        <v>6847</v>
      </c>
      <c r="H226" s="451"/>
    </row>
    <row r="227" spans="1:8">
      <c r="A227" s="478"/>
      <c r="B227" s="468"/>
      <c r="C227" s="430"/>
      <c r="D227" s="459"/>
      <c r="E227" s="430"/>
      <c r="F227" s="440"/>
      <c r="G227" s="445"/>
      <c r="H227" s="451"/>
    </row>
    <row r="228" spans="1:8">
      <c r="A228" s="478"/>
      <c r="B228" s="468"/>
      <c r="C228" s="430"/>
      <c r="D228" s="459"/>
      <c r="E228" s="430"/>
      <c r="F228" s="440"/>
      <c r="G228" s="445"/>
      <c r="H228" s="451"/>
    </row>
    <row r="229" spans="1:8" ht="15.75" thickBot="1">
      <c r="A229" s="481"/>
      <c r="B229" s="474"/>
      <c r="C229" s="474"/>
      <c r="D229" s="474"/>
      <c r="E229" s="474"/>
      <c r="F229" s="474"/>
      <c r="G229" s="482"/>
      <c r="H229" s="482"/>
    </row>
    <row r="230" spans="1:8" ht="15.75" thickBot="1">
      <c r="A230" s="436"/>
      <c r="B230" s="436"/>
      <c r="C230" s="436"/>
      <c r="D230" s="436"/>
      <c r="E230" s="436"/>
      <c r="F230" s="436"/>
      <c r="G230" s="437" t="s">
        <v>86</v>
      </c>
      <c r="H230" s="466">
        <f>SUM(G225:G229)</f>
        <v>10150</v>
      </c>
    </row>
    <row r="231" spans="1:8" ht="15.75" thickBot="1">
      <c r="A231" s="436"/>
      <c r="B231" s="436"/>
      <c r="C231" s="436"/>
      <c r="D231" s="436"/>
      <c r="E231" s="436"/>
      <c r="F231" s="436"/>
      <c r="G231" s="483"/>
      <c r="H231" s="436"/>
    </row>
    <row r="232" spans="1:8" ht="15.75" thickBot="1">
      <c r="A232" s="436"/>
      <c r="B232" s="436"/>
      <c r="C232" s="436"/>
      <c r="D232" s="436"/>
      <c r="E232" s="484" t="s">
        <v>102</v>
      </c>
      <c r="F232" s="485"/>
      <c r="G232" s="485"/>
      <c r="H232" s="466">
        <f>H208+H217+H222+H230</f>
        <v>226019.50155555556</v>
      </c>
    </row>
    <row r="233" spans="1:8" ht="15.75" thickBot="1">
      <c r="A233" s="450" t="s">
        <v>103</v>
      </c>
      <c r="B233" s="450"/>
      <c r="C233" s="436"/>
      <c r="D233" s="436"/>
      <c r="E233" s="436"/>
      <c r="F233" s="436"/>
      <c r="G233" s="436"/>
      <c r="H233" s="436"/>
    </row>
    <row r="234" spans="1:8">
      <c r="A234" s="487" t="s">
        <v>80</v>
      </c>
      <c r="B234" s="488"/>
      <c r="C234" s="488"/>
      <c r="D234" s="488"/>
      <c r="E234" s="489"/>
      <c r="F234" s="490" t="s">
        <v>104</v>
      </c>
      <c r="G234" s="491" t="s">
        <v>105</v>
      </c>
      <c r="H234" s="457"/>
    </row>
    <row r="235" spans="1:8">
      <c r="A235" s="469" t="s">
        <v>106</v>
      </c>
      <c r="B235" s="467"/>
      <c r="C235" s="467"/>
      <c r="D235" s="467"/>
      <c r="E235" s="468"/>
      <c r="F235" s="492">
        <v>0.24633563034943853</v>
      </c>
      <c r="G235" s="493">
        <f>+F235*H232</f>
        <v>55676.656386953684</v>
      </c>
      <c r="H235" s="460"/>
    </row>
    <row r="236" spans="1:8" ht="15.75" thickBot="1">
      <c r="A236" s="472" t="s">
        <v>108</v>
      </c>
      <c r="B236" s="473"/>
      <c r="C236" s="473"/>
      <c r="D236" s="473"/>
      <c r="E236" s="474"/>
      <c r="F236" s="494">
        <v>0.05</v>
      </c>
      <c r="G236" s="495">
        <f>+F236*H232</f>
        <v>11300.975077777779</v>
      </c>
      <c r="H236" s="465"/>
    </row>
    <row r="237" spans="1:8" ht="15.75" thickBot="1">
      <c r="A237" s="436"/>
      <c r="B237" s="436"/>
      <c r="C237" s="436"/>
      <c r="D237" s="436"/>
      <c r="E237" s="436"/>
      <c r="F237" s="436"/>
      <c r="G237" s="437" t="s">
        <v>86</v>
      </c>
      <c r="H237" s="496">
        <f>SUM(G235:G236)</f>
        <v>66977.631464731458</v>
      </c>
    </row>
    <row r="238" spans="1:8" ht="15.75" thickBot="1">
      <c r="A238" s="436"/>
      <c r="B238" s="436"/>
      <c r="C238" s="436"/>
      <c r="D238" s="436"/>
      <c r="E238" s="436"/>
      <c r="F238" s="436"/>
      <c r="G238" s="436"/>
      <c r="H238" s="436"/>
    </row>
    <row r="239" spans="1:8" ht="15.75" thickBot="1">
      <c r="A239" s="446"/>
      <c r="B239" s="446"/>
      <c r="C239" s="436"/>
      <c r="D239" s="484" t="s">
        <v>109</v>
      </c>
      <c r="E239" s="485"/>
      <c r="F239" s="485"/>
      <c r="G239" s="485"/>
      <c r="H239" s="466">
        <f>ROUND((H232+H237),0)</f>
        <v>292997</v>
      </c>
    </row>
    <row r="241" spans="1:8">
      <c r="A241" s="186" t="s">
        <v>77</v>
      </c>
      <c r="B241" s="446"/>
      <c r="C241" s="446"/>
      <c r="D241" s="446"/>
      <c r="E241" s="446"/>
      <c r="F241" s="446"/>
      <c r="G241" s="446"/>
      <c r="H241" s="446"/>
    </row>
    <row r="242" spans="1:8" ht="15.75" thickBot="1">
      <c r="A242" s="446"/>
      <c r="B242" s="446"/>
      <c r="C242" s="446"/>
      <c r="D242" s="446"/>
      <c r="E242" s="446"/>
      <c r="F242" s="446"/>
      <c r="G242" s="446"/>
      <c r="H242" s="446"/>
    </row>
    <row r="243" spans="1:8">
      <c r="A243" s="1348" t="s">
        <v>213</v>
      </c>
      <c r="B243" s="1349"/>
      <c r="C243" s="1350"/>
      <c r="D243" s="448"/>
      <c r="E243" s="448"/>
      <c r="F243" s="448"/>
      <c r="G243" s="448"/>
      <c r="H243" s="449"/>
    </row>
    <row r="244" spans="1:8">
      <c r="A244" s="1351"/>
      <c r="B244" s="1352"/>
      <c r="C244" s="1353"/>
      <c r="D244" s="436"/>
      <c r="E244" s="450" t="s">
        <v>78</v>
      </c>
      <c r="F244" s="436"/>
      <c r="G244" s="436"/>
      <c r="H244" s="451"/>
    </row>
    <row r="245" spans="1:8" ht="15.75" thickBot="1">
      <c r="A245" s="1354"/>
      <c r="B245" s="1355"/>
      <c r="C245" s="1356"/>
      <c r="D245" s="1360"/>
      <c r="E245" s="1361"/>
      <c r="F245" s="1361"/>
      <c r="G245" s="1361"/>
      <c r="H245" s="1362"/>
    </row>
    <row r="246" spans="1:8">
      <c r="A246" s="455"/>
      <c r="B246" s="436"/>
      <c r="C246" s="436"/>
      <c r="D246" s="436"/>
      <c r="E246" s="436"/>
      <c r="F246" s="436"/>
      <c r="G246" s="436"/>
      <c r="H246" s="436"/>
    </row>
    <row r="247" spans="1:8">
      <c r="A247" s="455" t="s">
        <v>579</v>
      </c>
      <c r="B247" s="456"/>
      <c r="C247" s="436"/>
      <c r="D247" s="446"/>
      <c r="E247" s="456"/>
      <c r="F247" s="446"/>
      <c r="G247" s="456" t="s">
        <v>581</v>
      </c>
      <c r="H247" s="436"/>
    </row>
    <row r="248" spans="1:8">
      <c r="A248" s="455" t="s">
        <v>580</v>
      </c>
      <c r="B248" s="456"/>
      <c r="C248" s="436"/>
      <c r="D248" s="456"/>
      <c r="E248" s="456"/>
      <c r="F248" s="456"/>
      <c r="G248" s="456" t="s">
        <v>272</v>
      </c>
      <c r="H248" s="436"/>
    </row>
    <row r="249" spans="1:8">
      <c r="A249" s="456"/>
      <c r="B249" s="456"/>
      <c r="C249" s="436"/>
      <c r="D249" s="456"/>
      <c r="E249" s="456"/>
      <c r="F249" s="456"/>
      <c r="G249" s="456"/>
      <c r="H249" s="436"/>
    </row>
    <row r="250" spans="1:8" ht="15.75" thickBot="1">
      <c r="A250" s="450" t="s">
        <v>79</v>
      </c>
      <c r="B250" s="450"/>
      <c r="C250" s="436"/>
      <c r="D250" s="436"/>
      <c r="E250" s="436"/>
      <c r="F250" s="436"/>
      <c r="G250" s="436"/>
      <c r="H250" s="436"/>
    </row>
    <row r="251" spans="1:8">
      <c r="A251" s="1345" t="s">
        <v>80</v>
      </c>
      <c r="B251" s="1346"/>
      <c r="C251" s="1347"/>
      <c r="D251" s="438" t="s">
        <v>81</v>
      </c>
      <c r="E251" s="438" t="s">
        <v>82</v>
      </c>
      <c r="F251" s="438" t="s">
        <v>83</v>
      </c>
      <c r="G251" s="439" t="s">
        <v>84</v>
      </c>
      <c r="H251" s="457"/>
    </row>
    <row r="252" spans="1:8">
      <c r="A252" s="1357" t="s">
        <v>85</v>
      </c>
      <c r="B252" s="1358"/>
      <c r="C252" s="1359"/>
      <c r="D252" s="459"/>
      <c r="E252" s="440"/>
      <c r="F252" s="440"/>
      <c r="G252" s="432">
        <f>ROUND(H277*0.05,0)</f>
        <v>709</v>
      </c>
      <c r="H252" s="460"/>
    </row>
    <row r="253" spans="1:8">
      <c r="A253" s="1357"/>
      <c r="B253" s="1358"/>
      <c r="C253" s="1359"/>
      <c r="D253" s="461"/>
      <c r="E253" s="462"/>
      <c r="F253" s="497"/>
      <c r="G253" s="432">
        <f>E253*F253</f>
        <v>0</v>
      </c>
      <c r="H253" s="460"/>
    </row>
    <row r="254" spans="1:8" ht="15.75" thickBot="1">
      <c r="A254" s="1342"/>
      <c r="B254" s="1343"/>
      <c r="C254" s="1344"/>
      <c r="D254" s="464"/>
      <c r="E254" s="433"/>
      <c r="F254" s="434"/>
      <c r="G254" s="441">
        <f>E254*F254</f>
        <v>0</v>
      </c>
      <c r="H254" s="465"/>
    </row>
    <row r="255" spans="1:8" ht="15.75" thickBot="1">
      <c r="A255" s="436"/>
      <c r="B255" s="436"/>
      <c r="C255" s="436"/>
      <c r="D255" s="436"/>
      <c r="E255" s="436"/>
      <c r="F255" s="436"/>
      <c r="G255" s="437" t="s">
        <v>86</v>
      </c>
      <c r="H255" s="466">
        <f>SUM(G252:G254)</f>
        <v>709</v>
      </c>
    </row>
    <row r="256" spans="1:8" ht="15.75" thickBot="1">
      <c r="A256" s="450" t="s">
        <v>87</v>
      </c>
      <c r="B256" s="450"/>
      <c r="C256" s="436"/>
      <c r="D256" s="436"/>
      <c r="E256" s="436"/>
      <c r="F256" s="436"/>
      <c r="G256" s="436"/>
      <c r="H256" s="436"/>
    </row>
    <row r="257" spans="1:8">
      <c r="A257" s="1345" t="s">
        <v>80</v>
      </c>
      <c r="B257" s="1346"/>
      <c r="C257" s="1347"/>
      <c r="D257" s="438" t="s">
        <v>88</v>
      </c>
      <c r="E257" s="438" t="s">
        <v>89</v>
      </c>
      <c r="F257" s="438" t="s">
        <v>90</v>
      </c>
      <c r="G257" s="439" t="s">
        <v>84</v>
      </c>
      <c r="H257" s="457"/>
    </row>
    <row r="258" spans="1:8">
      <c r="A258" s="458" t="s">
        <v>796</v>
      </c>
      <c r="B258" s="467"/>
      <c r="C258" s="468"/>
      <c r="D258" s="459" t="s">
        <v>582</v>
      </c>
      <c r="E258" s="430">
        <f>22993*1.19</f>
        <v>27361.67</v>
      </c>
      <c r="F258" s="440">
        <v>1.2</v>
      </c>
      <c r="G258" s="432">
        <f>E258*F258</f>
        <v>32834.003999999994</v>
      </c>
      <c r="H258" s="460"/>
    </row>
    <row r="259" spans="1:8">
      <c r="A259" s="469" t="s">
        <v>797</v>
      </c>
      <c r="B259" s="467"/>
      <c r="C259" s="468"/>
      <c r="D259" s="459" t="s">
        <v>271</v>
      </c>
      <c r="E259" s="430">
        <f>19911*1.19</f>
        <v>23694.09</v>
      </c>
      <c r="F259" s="440">
        <v>1</v>
      </c>
      <c r="G259" s="432">
        <f>E259*F259</f>
        <v>23694.09</v>
      </c>
      <c r="H259" s="460"/>
    </row>
    <row r="260" spans="1:8">
      <c r="A260" s="469"/>
      <c r="B260" s="467"/>
      <c r="C260" s="471"/>
      <c r="D260" s="459"/>
      <c r="E260" s="470"/>
      <c r="F260" s="440"/>
      <c r="G260" s="432"/>
      <c r="H260" s="460"/>
    </row>
    <row r="261" spans="1:8">
      <c r="A261" s="469" t="s">
        <v>93</v>
      </c>
      <c r="B261" s="467"/>
      <c r="C261" s="471">
        <v>0.05</v>
      </c>
      <c r="D261" s="459"/>
      <c r="E261" s="430"/>
      <c r="F261" s="431"/>
      <c r="G261" s="432">
        <f>SUM(G258:G260)*C261</f>
        <v>2826.4047</v>
      </c>
      <c r="H261" s="460"/>
    </row>
    <row r="262" spans="1:8">
      <c r="A262" s="469"/>
      <c r="B262" s="467"/>
      <c r="C262" s="468"/>
      <c r="D262" s="459"/>
      <c r="E262" s="430"/>
      <c r="F262" s="431"/>
      <c r="G262" s="432"/>
      <c r="H262" s="460"/>
    </row>
    <row r="263" spans="1:8" ht="15.75" thickBot="1">
      <c r="A263" s="472"/>
      <c r="B263" s="473"/>
      <c r="C263" s="474"/>
      <c r="D263" s="464"/>
      <c r="E263" s="433"/>
      <c r="F263" s="434"/>
      <c r="G263" s="435"/>
      <c r="H263" s="465"/>
    </row>
    <row r="264" spans="1:8" ht="15.75" thickBot="1">
      <c r="A264" s="436"/>
      <c r="B264" s="436"/>
      <c r="C264" s="436"/>
      <c r="D264" s="436"/>
      <c r="E264" s="436"/>
      <c r="F264" s="436"/>
      <c r="G264" s="437" t="s">
        <v>86</v>
      </c>
      <c r="H264" s="466">
        <f>SUM(G258:G263)</f>
        <v>59354.498699999996</v>
      </c>
    </row>
    <row r="265" spans="1:8" ht="15.75" thickBot="1">
      <c r="A265" s="450" t="s">
        <v>94</v>
      </c>
      <c r="B265" s="450"/>
      <c r="C265" s="436"/>
      <c r="D265" s="436"/>
      <c r="E265" s="436"/>
      <c r="F265" s="436"/>
      <c r="G265" s="436"/>
      <c r="H265" s="436"/>
    </row>
    <row r="266" spans="1:8">
      <c r="A266" s="1345" t="s">
        <v>95</v>
      </c>
      <c r="B266" s="1346"/>
      <c r="C266" s="1347"/>
      <c r="D266" s="438" t="s">
        <v>88</v>
      </c>
      <c r="E266" s="438" t="s">
        <v>89</v>
      </c>
      <c r="F266" s="438" t="s">
        <v>90</v>
      </c>
      <c r="G266" s="439" t="s">
        <v>84</v>
      </c>
      <c r="H266" s="457"/>
    </row>
    <row r="267" spans="1:8">
      <c r="A267" s="458" t="s">
        <v>235</v>
      </c>
      <c r="B267" s="467"/>
      <c r="C267" s="468"/>
      <c r="D267" s="459" t="s">
        <v>271</v>
      </c>
      <c r="E267" s="430">
        <v>4000</v>
      </c>
      <c r="F267" s="440">
        <v>1</v>
      </c>
      <c r="G267" s="432">
        <f>E267*F267</f>
        <v>4000</v>
      </c>
      <c r="H267" s="460"/>
    </row>
    <row r="268" spans="1:8" ht="15.75" thickBot="1">
      <c r="A268" s="1342"/>
      <c r="B268" s="1343"/>
      <c r="C268" s="1344"/>
      <c r="D268" s="475"/>
      <c r="E268" s="433"/>
      <c r="F268" s="434"/>
      <c r="G268" s="441"/>
      <c r="H268" s="460"/>
    </row>
    <row r="269" spans="1:8" ht="15.75" thickBot="1">
      <c r="A269" s="436"/>
      <c r="B269" s="436"/>
      <c r="C269" s="436"/>
      <c r="D269" s="436"/>
      <c r="E269" s="436"/>
      <c r="F269" s="436"/>
      <c r="G269" s="437" t="s">
        <v>86</v>
      </c>
      <c r="H269" s="466">
        <f>SUM(G267:G268)</f>
        <v>4000</v>
      </c>
    </row>
    <row r="270" spans="1:8" ht="15.75" thickBot="1">
      <c r="A270" s="450" t="s">
        <v>96</v>
      </c>
      <c r="B270" s="450"/>
      <c r="C270" s="436"/>
      <c r="D270" s="436"/>
      <c r="E270" s="436"/>
      <c r="F270" s="436"/>
      <c r="G270" s="436"/>
      <c r="H270" s="436"/>
    </row>
    <row r="271" spans="1:8">
      <c r="A271" s="476" t="s">
        <v>97</v>
      </c>
      <c r="B271" s="438"/>
      <c r="C271" s="438" t="s">
        <v>98</v>
      </c>
      <c r="D271" s="438" t="s">
        <v>99</v>
      </c>
      <c r="E271" s="442" t="s">
        <v>100</v>
      </c>
      <c r="F271" s="443" t="s">
        <v>83</v>
      </c>
      <c r="G271" s="444" t="s">
        <v>84</v>
      </c>
      <c r="H271" s="477"/>
    </row>
    <row r="272" spans="1:8">
      <c r="A272" s="478" t="s">
        <v>227</v>
      </c>
      <c r="B272" s="468"/>
      <c r="C272" s="479">
        <f>+PERSONAL!$E$31</f>
        <v>48800</v>
      </c>
      <c r="D272" s="480">
        <v>1.8769294394636016</v>
      </c>
      <c r="E272" s="440">
        <f>+D272*C272</f>
        <v>91594.15664582375</v>
      </c>
      <c r="F272" s="440">
        <v>18</v>
      </c>
      <c r="G272" s="445">
        <f>ROUND(E272/F272,0)</f>
        <v>5089</v>
      </c>
      <c r="H272" s="451"/>
    </row>
    <row r="273" spans="1:8">
      <c r="A273" s="478" t="s">
        <v>101</v>
      </c>
      <c r="B273" s="467"/>
      <c r="C273" s="479">
        <f>+PERSONAL!$E$32</f>
        <v>87200</v>
      </c>
      <c r="D273" s="480">
        <v>1.8769294394636016</v>
      </c>
      <c r="E273" s="440">
        <f>+D273*C273</f>
        <v>163668.24712122607</v>
      </c>
      <c r="F273" s="440">
        <f>+F272</f>
        <v>18</v>
      </c>
      <c r="G273" s="445">
        <f>ROUND(E273/F273,0)</f>
        <v>9093</v>
      </c>
      <c r="H273" s="451"/>
    </row>
    <row r="274" spans="1:8">
      <c r="A274" s="478"/>
      <c r="B274" s="468"/>
      <c r="C274" s="430"/>
      <c r="D274" s="459"/>
      <c r="E274" s="430"/>
      <c r="F274" s="440"/>
      <c r="G274" s="445"/>
      <c r="H274" s="451"/>
    </row>
    <row r="275" spans="1:8">
      <c r="A275" s="478"/>
      <c r="B275" s="468"/>
      <c r="C275" s="430"/>
      <c r="D275" s="459"/>
      <c r="E275" s="430"/>
      <c r="F275" s="440"/>
      <c r="G275" s="445"/>
      <c r="H275" s="451"/>
    </row>
    <row r="276" spans="1:8" ht="15.75" thickBot="1">
      <c r="A276" s="481"/>
      <c r="B276" s="474"/>
      <c r="C276" s="474"/>
      <c r="D276" s="474"/>
      <c r="E276" s="474"/>
      <c r="F276" s="474"/>
      <c r="G276" s="482"/>
      <c r="H276" s="482"/>
    </row>
    <row r="277" spans="1:8" ht="15.75" thickBot="1">
      <c r="A277" s="436"/>
      <c r="B277" s="436"/>
      <c r="C277" s="436"/>
      <c r="D277" s="436"/>
      <c r="E277" s="436"/>
      <c r="F277" s="436"/>
      <c r="G277" s="437" t="s">
        <v>86</v>
      </c>
      <c r="H277" s="466">
        <f>SUM(G272:G276)</f>
        <v>14182</v>
      </c>
    </row>
    <row r="278" spans="1:8" ht="15.75" thickBot="1">
      <c r="A278" s="436"/>
      <c r="B278" s="436"/>
      <c r="C278" s="436"/>
      <c r="D278" s="436"/>
      <c r="E278" s="436"/>
      <c r="F278" s="436"/>
      <c r="G278" s="483"/>
      <c r="H278" s="436"/>
    </row>
    <row r="279" spans="1:8" ht="15.75" thickBot="1">
      <c r="A279" s="436"/>
      <c r="B279" s="436"/>
      <c r="C279" s="436"/>
      <c r="D279" s="436"/>
      <c r="E279" s="484" t="s">
        <v>102</v>
      </c>
      <c r="F279" s="485"/>
      <c r="G279" s="485"/>
      <c r="H279" s="466">
        <f>H255+H264+H269+H277</f>
        <v>78245.498699999996</v>
      </c>
    </row>
    <row r="280" spans="1:8" ht="15.75" thickBot="1">
      <c r="A280" s="450" t="s">
        <v>103</v>
      </c>
      <c r="B280" s="450"/>
      <c r="C280" s="436"/>
      <c r="D280" s="436"/>
      <c r="E280" s="436"/>
      <c r="F280" s="436"/>
      <c r="G280" s="436"/>
      <c r="H280" s="436"/>
    </row>
    <row r="281" spans="1:8">
      <c r="A281" s="487" t="s">
        <v>80</v>
      </c>
      <c r="B281" s="488"/>
      <c r="C281" s="488"/>
      <c r="D281" s="488"/>
      <c r="E281" s="489"/>
      <c r="F281" s="490" t="s">
        <v>104</v>
      </c>
      <c r="G281" s="491" t="s">
        <v>105</v>
      </c>
      <c r="H281" s="457"/>
    </row>
    <row r="282" spans="1:8">
      <c r="A282" s="469" t="s">
        <v>106</v>
      </c>
      <c r="B282" s="467"/>
      <c r="C282" s="467"/>
      <c r="D282" s="467"/>
      <c r="E282" s="468"/>
      <c r="F282" s="492">
        <v>0.24633563034943853</v>
      </c>
      <c r="G282" s="493">
        <f>+F282*H279</f>
        <v>19274.654244270674</v>
      </c>
      <c r="H282" s="460"/>
    </row>
    <row r="283" spans="1:8" ht="15.75" thickBot="1">
      <c r="A283" s="472" t="s">
        <v>108</v>
      </c>
      <c r="B283" s="473"/>
      <c r="C283" s="473"/>
      <c r="D283" s="473"/>
      <c r="E283" s="474"/>
      <c r="F283" s="494">
        <v>0.05</v>
      </c>
      <c r="G283" s="495">
        <f>+F283*H279</f>
        <v>3912.2749349999999</v>
      </c>
      <c r="H283" s="465"/>
    </row>
    <row r="284" spans="1:8" ht="15.75" thickBot="1">
      <c r="A284" s="436"/>
      <c r="B284" s="436"/>
      <c r="C284" s="436"/>
      <c r="D284" s="436"/>
      <c r="E284" s="436"/>
      <c r="F284" s="436"/>
      <c r="G284" s="437" t="s">
        <v>86</v>
      </c>
      <c r="H284" s="496">
        <f>SUM(G282:G283)</f>
        <v>23186.929179270675</v>
      </c>
    </row>
    <row r="285" spans="1:8" ht="15.75" thickBot="1">
      <c r="A285" s="436"/>
      <c r="B285" s="436"/>
      <c r="C285" s="436"/>
      <c r="D285" s="436"/>
      <c r="E285" s="436"/>
      <c r="F285" s="436"/>
      <c r="G285" s="436"/>
      <c r="H285" s="436"/>
    </row>
    <row r="286" spans="1:8" ht="15.75" thickBot="1">
      <c r="A286" s="446"/>
      <c r="B286" s="446"/>
      <c r="C286" s="436"/>
      <c r="D286" s="484" t="s">
        <v>109</v>
      </c>
      <c r="E286" s="485"/>
      <c r="F286" s="485"/>
      <c r="G286" s="485"/>
      <c r="H286" s="466">
        <f>ROUND((H279+H284),0)</f>
        <v>101432</v>
      </c>
    </row>
  </sheetData>
  <mergeCells count="51">
    <mergeCell ref="A268:C268"/>
    <mergeCell ref="A206:C206"/>
    <mergeCell ref="A207:C207"/>
    <mergeCell ref="A252:C252"/>
    <mergeCell ref="A253:C253"/>
    <mergeCell ref="A254:C254"/>
    <mergeCell ref="A257:C257"/>
    <mergeCell ref="A266:C266"/>
    <mergeCell ref="A219:C219"/>
    <mergeCell ref="A221:C221"/>
    <mergeCell ref="A243:C245"/>
    <mergeCell ref="D245:H245"/>
    <mergeCell ref="A251:C251"/>
    <mergeCell ref="A210:C210"/>
    <mergeCell ref="A97:C99"/>
    <mergeCell ref="D99:H99"/>
    <mergeCell ref="A105:C105"/>
    <mergeCell ref="A106:C106"/>
    <mergeCell ref="A107:C107"/>
    <mergeCell ref="A108:C108"/>
    <mergeCell ref="A111:C111"/>
    <mergeCell ref="A195:C197"/>
    <mergeCell ref="D197:H197"/>
    <mergeCell ref="A203:C203"/>
    <mergeCell ref="A204:C204"/>
    <mergeCell ref="A205:C205"/>
    <mergeCell ref="A157:C157"/>
    <mergeCell ref="A160:C160"/>
    <mergeCell ref="A146:C148"/>
    <mergeCell ref="D148:H148"/>
    <mergeCell ref="A154:C154"/>
    <mergeCell ref="A155:C155"/>
    <mergeCell ref="A156:C156"/>
    <mergeCell ref="A12:C12"/>
    <mergeCell ref="A11:C11"/>
    <mergeCell ref="D5:H5"/>
    <mergeCell ref="A3:C5"/>
    <mergeCell ref="A64:C64"/>
    <mergeCell ref="A28:C28"/>
    <mergeCell ref="A26:C26"/>
    <mergeCell ref="A17:C17"/>
    <mergeCell ref="A14:C14"/>
    <mergeCell ref="A13:C13"/>
    <mergeCell ref="A73:C73"/>
    <mergeCell ref="A75:C75"/>
    <mergeCell ref="A50:C52"/>
    <mergeCell ref="D52:H52"/>
    <mergeCell ref="A58:C58"/>
    <mergeCell ref="A59:C59"/>
    <mergeCell ref="A60:C60"/>
    <mergeCell ref="A61:C61"/>
  </mergeCells>
  <hyperlinks>
    <hyperlink ref="A48" r:id="rId1" location="PRESUPUESTO!A1" xr:uid="{D12FEB21-7577-437C-A8BB-E7A85C4E8985}"/>
    <hyperlink ref="A1" r:id="rId2" location="PRESUPUESTO!A1" xr:uid="{C9393946-9F3F-41E8-91EA-DC9248099616}"/>
    <hyperlink ref="A144" r:id="rId3" location="PRESUPUESTO!A1" xr:uid="{2299B680-AD9C-4494-8A23-DCCBA30D1B69}"/>
    <hyperlink ref="A95" r:id="rId4" location="PRESUPUESTO!A1" xr:uid="{FCB8D808-7417-4E6B-AB14-0F0C52875BC3}"/>
    <hyperlink ref="A193" r:id="rId5" location="PRESUPUESTO!A1" xr:uid="{ACAB8954-8FE0-4DAC-8FB0-E4A2CB610F41}"/>
    <hyperlink ref="A241" r:id="rId6" location="PRESUPUESTO!A1" xr:uid="{6D8EAFB2-8356-4E49-AE2E-9B05420CD434}"/>
  </hyperlinks>
  <pageMargins left="0.7" right="0.7" top="0.75" bottom="0.75" header="0.3" footer="0.3"/>
  <pageSetup scale="92" orientation="portrait" r:id="rId7"/>
  <rowBreaks count="5" manualBreakCount="5">
    <brk id="47" max="16383" man="1"/>
    <brk id="94" max="16383" man="1"/>
    <brk id="143" max="16383" man="1"/>
    <brk id="192" max="16383" man="1"/>
    <brk id="24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7FA5F-5933-4E0B-B3BC-280DB632FF32}">
  <dimension ref="A1:Q472"/>
  <sheetViews>
    <sheetView view="pageBreakPreview" topLeftCell="A448" zoomScaleNormal="100" zoomScaleSheetLayoutView="100" workbookViewId="0">
      <selection activeCell="I274" sqref="I274"/>
    </sheetView>
  </sheetViews>
  <sheetFormatPr baseColWidth="10" defaultRowHeight="15"/>
  <cols>
    <col min="9" max="9" width="14.7109375" customWidth="1"/>
    <col min="11" max="11" width="11.7109375" bestFit="1" customWidth="1"/>
  </cols>
  <sheetData>
    <row r="1" spans="1:10">
      <c r="A1" s="186" t="s">
        <v>77</v>
      </c>
      <c r="B1" s="446"/>
      <c r="C1" s="446"/>
      <c r="D1" s="446"/>
      <c r="E1" s="446"/>
      <c r="F1" s="446"/>
      <c r="G1" s="446"/>
      <c r="H1" s="446"/>
    </row>
    <row r="2" spans="1:10" ht="15.75" thickBot="1">
      <c r="A2" s="446"/>
      <c r="B2" s="446"/>
      <c r="C2" s="446"/>
      <c r="D2" s="446"/>
      <c r="E2" s="446"/>
      <c r="F2" s="446"/>
      <c r="G2" s="446"/>
      <c r="H2" s="446"/>
    </row>
    <row r="3" spans="1:10">
      <c r="A3" s="1348" t="s">
        <v>213</v>
      </c>
      <c r="B3" s="1349"/>
      <c r="C3" s="1350"/>
      <c r="D3" s="448"/>
      <c r="E3" s="448"/>
      <c r="F3" s="448"/>
      <c r="G3" s="448"/>
      <c r="H3" s="449"/>
    </row>
    <row r="4" spans="1:10">
      <c r="A4" s="1351"/>
      <c r="B4" s="1352"/>
      <c r="C4" s="1353"/>
      <c r="D4" s="436"/>
      <c r="E4" s="450" t="s">
        <v>78</v>
      </c>
      <c r="F4" s="436"/>
      <c r="G4" s="436"/>
      <c r="H4" s="451"/>
    </row>
    <row r="5" spans="1:10" ht="15.75" thickBot="1">
      <c r="A5" s="1354"/>
      <c r="B5" s="1355"/>
      <c r="C5" s="1356"/>
      <c r="D5" s="1360"/>
      <c r="E5" s="1361"/>
      <c r="F5" s="1361"/>
      <c r="G5" s="1361"/>
      <c r="H5" s="1362"/>
    </row>
    <row r="6" spans="1:10">
      <c r="A6" s="455"/>
      <c r="B6" s="436"/>
      <c r="C6" s="436"/>
      <c r="D6" s="436"/>
      <c r="E6" s="436"/>
      <c r="F6" s="436"/>
      <c r="G6" s="436"/>
      <c r="H6" s="436"/>
    </row>
    <row r="7" spans="1:10" s="446" customFormat="1" ht="12.75">
      <c r="A7" s="455" t="s">
        <v>1146</v>
      </c>
      <c r="B7" s="456" t="str">
        <f>+PRESUPUESTO!$B$40</f>
        <v>CONCRETOS</v>
      </c>
      <c r="C7" s="436"/>
      <c r="E7" s="456"/>
      <c r="G7" s="456" t="s">
        <v>1123</v>
      </c>
      <c r="H7" s="483" t="s">
        <v>1149</v>
      </c>
      <c r="I7" s="436"/>
      <c r="J7" s="436"/>
    </row>
    <row r="8" spans="1:10" s="931" customFormat="1" ht="52.15" customHeight="1">
      <c r="A8" s="928" t="s">
        <v>1122</v>
      </c>
      <c r="B8" s="1374" t="str">
        <f>VLOOKUP(H7,PRESUPUESTO!$A$18:$F$251,2,FALSE)</f>
        <v>Pilotes d=30 cm, L=4 m.</v>
      </c>
      <c r="C8" s="1374"/>
      <c r="D8" s="1374"/>
      <c r="E8" s="1374"/>
      <c r="F8" s="1374"/>
      <c r="G8" s="929" t="s">
        <v>9</v>
      </c>
      <c r="H8" s="1024" t="str">
        <f>VLOOKUP(H7,PRESUPUESTO!$A$18:$F$251,3,FALSE)</f>
        <v>m3</v>
      </c>
    </row>
    <row r="9" spans="1:10">
      <c r="A9" s="456"/>
      <c r="B9" s="456"/>
      <c r="C9" s="436"/>
      <c r="D9" s="456"/>
      <c r="E9" s="456"/>
      <c r="F9" s="456"/>
      <c r="G9" s="456"/>
      <c r="H9" s="436"/>
    </row>
    <row r="10" spans="1:10" ht="15.75" thickBot="1">
      <c r="A10" s="450" t="s">
        <v>79</v>
      </c>
      <c r="B10" s="450"/>
      <c r="C10" s="436"/>
      <c r="D10" s="436"/>
      <c r="E10" s="436"/>
      <c r="F10" s="436"/>
      <c r="G10" s="436"/>
      <c r="H10" s="436"/>
    </row>
    <row r="11" spans="1:10">
      <c r="A11" s="1345" t="s">
        <v>80</v>
      </c>
      <c r="B11" s="1346"/>
      <c r="C11" s="1347"/>
      <c r="D11" s="438" t="s">
        <v>81</v>
      </c>
      <c r="E11" s="438" t="s">
        <v>82</v>
      </c>
      <c r="F11" s="438" t="s">
        <v>83</v>
      </c>
      <c r="G11" s="439" t="s">
        <v>84</v>
      </c>
      <c r="H11" s="457"/>
    </row>
    <row r="12" spans="1:10">
      <c r="A12" s="1357" t="s">
        <v>85</v>
      </c>
      <c r="B12" s="1358"/>
      <c r="C12" s="1359"/>
      <c r="D12" s="459"/>
      <c r="E12" s="440"/>
      <c r="F12" s="440"/>
      <c r="G12" s="432">
        <f>ROUND(H37*0.05,0)</f>
        <v>9118</v>
      </c>
      <c r="H12" s="460"/>
    </row>
    <row r="13" spans="1:10">
      <c r="A13" s="1357" t="s">
        <v>532</v>
      </c>
      <c r="B13" s="1358"/>
      <c r="C13" s="1359"/>
      <c r="D13" s="461" t="s">
        <v>263</v>
      </c>
      <c r="E13" s="462">
        <f>MATERIALES!$C$9</f>
        <v>35000</v>
      </c>
      <c r="F13" s="497">
        <v>0.5</v>
      </c>
      <c r="G13" s="432">
        <f>E13*F13</f>
        <v>17500</v>
      </c>
      <c r="H13" s="460"/>
    </row>
    <row r="14" spans="1:10" ht="15.75" thickBot="1">
      <c r="A14" s="1342"/>
      <c r="B14" s="1343"/>
      <c r="C14" s="1344"/>
      <c r="D14" s="464"/>
      <c r="E14" s="433"/>
      <c r="F14" s="434"/>
      <c r="G14" s="441">
        <f>E14*F14</f>
        <v>0</v>
      </c>
      <c r="H14" s="465"/>
    </row>
    <row r="15" spans="1:10" ht="15.75" thickBot="1">
      <c r="A15" s="436"/>
      <c r="B15" s="436"/>
      <c r="C15" s="436"/>
      <c r="D15" s="436"/>
      <c r="E15" s="436"/>
      <c r="F15" s="436"/>
      <c r="G15" s="437" t="s">
        <v>86</v>
      </c>
      <c r="H15" s="466">
        <f>SUM(G12:G14)</f>
        <v>26618</v>
      </c>
    </row>
    <row r="16" spans="1:10" ht="15.75" thickBot="1">
      <c r="A16" s="450" t="s">
        <v>87</v>
      </c>
      <c r="B16" s="450"/>
      <c r="C16" s="436"/>
      <c r="D16" s="436"/>
      <c r="E16" s="436"/>
      <c r="F16" s="436"/>
      <c r="G16" s="436"/>
      <c r="H16" s="436"/>
    </row>
    <row r="17" spans="1:8">
      <c r="A17" s="1345" t="s">
        <v>80</v>
      </c>
      <c r="B17" s="1346"/>
      <c r="C17" s="1347"/>
      <c r="D17" s="438" t="s">
        <v>88</v>
      </c>
      <c r="E17" s="438" t="s">
        <v>89</v>
      </c>
      <c r="F17" s="438" t="s">
        <v>90</v>
      </c>
      <c r="G17" s="439" t="s">
        <v>84</v>
      </c>
      <c r="H17" s="457"/>
    </row>
    <row r="18" spans="1:8">
      <c r="A18" s="458" t="s">
        <v>531</v>
      </c>
      <c r="B18" s="467"/>
      <c r="C18" s="468"/>
      <c r="D18" s="459" t="s">
        <v>91</v>
      </c>
      <c r="E18" s="430">
        <f>APA!$H$176</f>
        <v>561165.64333333331</v>
      </c>
      <c r="F18" s="440">
        <v>1</v>
      </c>
      <c r="G18" s="432">
        <f>E18*F18</f>
        <v>561165.64333333331</v>
      </c>
      <c r="H18" s="460"/>
    </row>
    <row r="19" spans="1:8">
      <c r="A19" s="469"/>
      <c r="B19" s="467"/>
      <c r="C19" s="468"/>
      <c r="D19" s="459"/>
      <c r="E19" s="470"/>
      <c r="F19" s="440"/>
      <c r="G19" s="432">
        <f>F19*E19</f>
        <v>0</v>
      </c>
      <c r="H19" s="460"/>
    </row>
    <row r="20" spans="1:8">
      <c r="A20" s="469" t="s">
        <v>93</v>
      </c>
      <c r="B20" s="467"/>
      <c r="C20" s="471">
        <v>0.05</v>
      </c>
      <c r="D20" s="459"/>
      <c r="F20" s="431"/>
      <c r="G20" s="432">
        <f>SUM(G17:G19)*C20</f>
        <v>28058.282166666668</v>
      </c>
      <c r="H20" s="460"/>
    </row>
    <row r="21" spans="1:8">
      <c r="A21" s="469"/>
      <c r="B21" s="467"/>
      <c r="C21" s="468"/>
      <c r="D21" s="459"/>
      <c r="E21" s="430"/>
      <c r="F21" s="431"/>
      <c r="G21" s="432"/>
      <c r="H21" s="460"/>
    </row>
    <row r="22" spans="1:8">
      <c r="A22" s="469"/>
      <c r="B22" s="467"/>
      <c r="C22" s="468"/>
      <c r="D22" s="459"/>
      <c r="E22" s="430"/>
      <c r="F22" s="431"/>
      <c r="G22" s="432"/>
      <c r="H22" s="460"/>
    </row>
    <row r="23" spans="1:8" ht="15.75" thickBot="1">
      <c r="A23" s="472"/>
      <c r="B23" s="473"/>
      <c r="C23" s="474"/>
      <c r="D23" s="464"/>
      <c r="E23" s="433"/>
      <c r="F23" s="434"/>
      <c r="G23" s="435"/>
      <c r="H23" s="465"/>
    </row>
    <row r="24" spans="1:8" ht="15.75" thickBot="1">
      <c r="A24" s="436"/>
      <c r="B24" s="436"/>
      <c r="C24" s="436"/>
      <c r="D24" s="436"/>
      <c r="E24" s="436"/>
      <c r="F24" s="436"/>
      <c r="G24" s="437" t="s">
        <v>86</v>
      </c>
      <c r="H24" s="466">
        <f>SUM(G18:G23)</f>
        <v>589223.92550000001</v>
      </c>
    </row>
    <row r="25" spans="1:8" ht="15.75" thickBot="1">
      <c r="A25" s="450" t="s">
        <v>94</v>
      </c>
      <c r="B25" s="450"/>
      <c r="C25" s="436"/>
      <c r="D25" s="436"/>
      <c r="E25" s="436"/>
      <c r="F25" s="436"/>
      <c r="G25" s="436"/>
      <c r="H25" s="436"/>
    </row>
    <row r="26" spans="1:8">
      <c r="A26" s="1345" t="s">
        <v>95</v>
      </c>
      <c r="B26" s="1346"/>
      <c r="C26" s="1347"/>
      <c r="D26" s="438" t="s">
        <v>88</v>
      </c>
      <c r="E26" s="438" t="s">
        <v>89</v>
      </c>
      <c r="F26" s="438" t="s">
        <v>90</v>
      </c>
      <c r="G26" s="439" t="s">
        <v>84</v>
      </c>
      <c r="H26" s="457"/>
    </row>
    <row r="27" spans="1:8">
      <c r="A27" s="458" t="s">
        <v>235</v>
      </c>
      <c r="B27" s="467"/>
      <c r="C27" s="468"/>
      <c r="D27" s="459" t="s">
        <v>91</v>
      </c>
      <c r="E27" s="430">
        <v>28350</v>
      </c>
      <c r="F27" s="440">
        <v>1</v>
      </c>
      <c r="G27" s="432">
        <f>E27*F27</f>
        <v>28350</v>
      </c>
      <c r="H27" s="460"/>
    </row>
    <row r="28" spans="1:8" ht="15.75" thickBot="1">
      <c r="A28" s="1342"/>
      <c r="B28" s="1343"/>
      <c r="C28" s="1344"/>
      <c r="D28" s="475"/>
      <c r="E28" s="433"/>
      <c r="F28" s="434"/>
      <c r="G28" s="441"/>
      <c r="H28" s="460"/>
    </row>
    <row r="29" spans="1:8" ht="15.75" thickBot="1">
      <c r="A29" s="436"/>
      <c r="B29" s="436"/>
      <c r="C29" s="436"/>
      <c r="D29" s="436"/>
      <c r="E29" s="436"/>
      <c r="F29" s="436"/>
      <c r="G29" s="437" t="s">
        <v>86</v>
      </c>
      <c r="H29" s="466">
        <f>SUM(G27:G28)</f>
        <v>28350</v>
      </c>
    </row>
    <row r="30" spans="1:8" ht="15.75" thickBot="1">
      <c r="A30" s="450" t="s">
        <v>96</v>
      </c>
      <c r="B30" s="450"/>
      <c r="C30" s="436"/>
      <c r="D30" s="436"/>
      <c r="E30" s="436"/>
      <c r="F30" s="436"/>
      <c r="G30" s="436"/>
      <c r="H30" s="436"/>
    </row>
    <row r="31" spans="1:8">
      <c r="A31" s="476" t="s">
        <v>97</v>
      </c>
      <c r="B31" s="438"/>
      <c r="C31" s="438" t="s">
        <v>98</v>
      </c>
      <c r="D31" s="438" t="s">
        <v>99</v>
      </c>
      <c r="E31" s="442" t="s">
        <v>100</v>
      </c>
      <c r="F31" s="443" t="s">
        <v>83</v>
      </c>
      <c r="G31" s="444" t="s">
        <v>84</v>
      </c>
      <c r="H31" s="477"/>
    </row>
    <row r="32" spans="1:8">
      <c r="A32" s="478" t="s">
        <v>227</v>
      </c>
      <c r="B32" s="542">
        <v>1</v>
      </c>
      <c r="C32" s="479">
        <f>PERSONAL!$E$31</f>
        <v>48800</v>
      </c>
      <c r="D32" s="480">
        <f>PERSONAL!$F$31</f>
        <v>1.7431000000000001</v>
      </c>
      <c r="E32" s="440">
        <f>+D32*C32*B32</f>
        <v>85063.28</v>
      </c>
      <c r="F32" s="686">
        <v>1.3</v>
      </c>
      <c r="G32" s="445">
        <f>ROUND(E32/F32,0)</f>
        <v>65433</v>
      </c>
      <c r="H32" s="451"/>
    </row>
    <row r="33" spans="1:8">
      <c r="A33" s="478" t="s">
        <v>101</v>
      </c>
      <c r="B33" s="498">
        <v>1</v>
      </c>
      <c r="C33" s="479">
        <f>PERSONAL!$E$32</f>
        <v>87200</v>
      </c>
      <c r="D33" s="480">
        <f>PERSONAL!$F$31</f>
        <v>1.7431000000000001</v>
      </c>
      <c r="E33" s="440">
        <f>+D33*C33*B33</f>
        <v>151998.32</v>
      </c>
      <c r="F33" s="440">
        <f>+F32</f>
        <v>1.3</v>
      </c>
      <c r="G33" s="445">
        <f>ROUND(E33/F33,0)</f>
        <v>116922</v>
      </c>
      <c r="H33" s="451"/>
    </row>
    <row r="34" spans="1:8">
      <c r="A34" s="478"/>
      <c r="B34" s="468"/>
      <c r="C34" s="430"/>
      <c r="D34" s="459"/>
      <c r="E34" s="430"/>
      <c r="F34" s="440"/>
      <c r="G34" s="445"/>
      <c r="H34" s="451"/>
    </row>
    <row r="35" spans="1:8">
      <c r="A35" s="478"/>
      <c r="B35" s="468"/>
      <c r="C35" s="430"/>
      <c r="D35" s="459"/>
      <c r="E35" s="430"/>
      <c r="F35" s="440"/>
      <c r="G35" s="445"/>
      <c r="H35" s="451"/>
    </row>
    <row r="36" spans="1:8" ht="15.75" thickBot="1">
      <c r="A36" s="481"/>
      <c r="B36" s="474"/>
      <c r="C36" s="474"/>
      <c r="D36" s="474"/>
      <c r="E36" s="474"/>
      <c r="F36" s="474"/>
      <c r="G36" s="482"/>
      <c r="H36" s="482"/>
    </row>
    <row r="37" spans="1:8" ht="15.75" thickBot="1">
      <c r="A37" s="436"/>
      <c r="B37" s="436"/>
      <c r="C37" s="436"/>
      <c r="D37" s="436"/>
      <c r="E37" s="436"/>
      <c r="F37" s="436"/>
      <c r="G37" s="437" t="s">
        <v>86</v>
      </c>
      <c r="H37" s="466">
        <f>SUM(G32:G36)</f>
        <v>182355</v>
      </c>
    </row>
    <row r="38" spans="1:8" ht="15.75" thickBot="1">
      <c r="A38" s="436"/>
      <c r="B38" s="436"/>
      <c r="C38" s="436"/>
      <c r="D38" s="436"/>
      <c r="E38" s="436"/>
      <c r="F38" s="436"/>
      <c r="G38" s="483"/>
      <c r="H38" s="436"/>
    </row>
    <row r="39" spans="1:8" ht="15.75" thickBot="1">
      <c r="A39" s="436"/>
      <c r="B39" s="436"/>
      <c r="C39" s="436"/>
      <c r="D39" s="436"/>
      <c r="E39" s="484" t="s">
        <v>102</v>
      </c>
      <c r="F39" s="485"/>
      <c r="G39" s="485"/>
      <c r="H39" s="466">
        <f>H15+H24+H29+H37</f>
        <v>826546.92550000001</v>
      </c>
    </row>
    <row r="40" spans="1:8" ht="15.75" thickBot="1">
      <c r="A40" s="450" t="s">
        <v>103</v>
      </c>
      <c r="B40" s="450"/>
      <c r="C40" s="436"/>
      <c r="D40" s="436"/>
      <c r="E40" s="436"/>
      <c r="F40" s="436"/>
      <c r="G40" s="436"/>
      <c r="H40" s="436"/>
    </row>
    <row r="41" spans="1:8">
      <c r="A41" s="487" t="s">
        <v>80</v>
      </c>
      <c r="B41" s="488"/>
      <c r="C41" s="488"/>
      <c r="D41" s="488"/>
      <c r="E41" s="489"/>
      <c r="F41" s="490" t="s">
        <v>104</v>
      </c>
      <c r="G41" s="491" t="s">
        <v>105</v>
      </c>
      <c r="H41" s="457"/>
    </row>
    <row r="42" spans="1:8">
      <c r="A42" s="469" t="s">
        <v>106</v>
      </c>
      <c r="B42" s="467"/>
      <c r="C42" s="467"/>
      <c r="D42" s="467"/>
      <c r="E42" s="468"/>
      <c r="F42" s="492">
        <f>PRESUPUESTO!$E$222</f>
        <v>0.109</v>
      </c>
      <c r="G42" s="493">
        <f>+F42*H39</f>
        <v>90093.614879500004</v>
      </c>
      <c r="H42" s="460"/>
    </row>
    <row r="43" spans="1:8" ht="15.75" thickBot="1">
      <c r="A43" s="472" t="s">
        <v>108</v>
      </c>
      <c r="B43" s="473"/>
      <c r="C43" s="473"/>
      <c r="D43" s="473"/>
      <c r="E43" s="474"/>
      <c r="F43" s="494">
        <f>PRESUPUESTO!$E$223</f>
        <v>0.05</v>
      </c>
      <c r="G43" s="495">
        <f>+F43*H39</f>
        <v>41327.346275000004</v>
      </c>
      <c r="H43" s="465"/>
    </row>
    <row r="44" spans="1:8" ht="15.75" thickBot="1">
      <c r="A44" s="436"/>
      <c r="B44" s="436"/>
      <c r="C44" s="436"/>
      <c r="D44" s="436"/>
      <c r="E44" s="436"/>
      <c r="F44" s="436"/>
      <c r="G44" s="437" t="s">
        <v>86</v>
      </c>
      <c r="H44" s="496">
        <f>SUM(G42:G43)</f>
        <v>131420.96115450002</v>
      </c>
    </row>
    <row r="45" spans="1:8" ht="15.75" thickBot="1">
      <c r="A45" s="436"/>
      <c r="B45" s="436"/>
      <c r="C45" s="436"/>
      <c r="D45" s="436"/>
      <c r="E45" s="436"/>
      <c r="F45" s="436"/>
      <c r="G45" s="436"/>
      <c r="H45" s="436"/>
    </row>
    <row r="46" spans="1:8" ht="15.75" thickBot="1">
      <c r="A46" s="446"/>
      <c r="B46" s="446"/>
      <c r="C46" s="436"/>
      <c r="D46" s="484" t="s">
        <v>109</v>
      </c>
      <c r="E46" s="485"/>
      <c r="F46" s="485"/>
      <c r="G46" s="485"/>
      <c r="H46" s="466">
        <f>ROUND((H39+H44),0)</f>
        <v>957968</v>
      </c>
    </row>
    <row r="47" spans="1:8">
      <c r="A47" s="446"/>
      <c r="B47" s="446"/>
      <c r="C47" s="446"/>
      <c r="D47" s="446"/>
      <c r="E47" s="446"/>
      <c r="F47" s="446"/>
      <c r="G47" s="446"/>
      <c r="H47" s="446"/>
    </row>
    <row r="48" spans="1:8">
      <c r="A48" s="186" t="s">
        <v>77</v>
      </c>
      <c r="B48" s="446"/>
      <c r="C48" s="446"/>
      <c r="D48" s="446"/>
      <c r="E48" s="446"/>
      <c r="F48" s="446"/>
      <c r="G48" s="446"/>
      <c r="H48" s="446"/>
    </row>
    <row r="49" spans="1:10" ht="15.75" thickBot="1">
      <c r="A49" s="446"/>
      <c r="B49" s="446"/>
      <c r="C49" s="446"/>
      <c r="D49" s="446"/>
      <c r="E49" s="446"/>
      <c r="F49" s="446"/>
      <c r="G49" s="446"/>
      <c r="H49" s="446"/>
    </row>
    <row r="50" spans="1:10">
      <c r="A50" s="1348" t="s">
        <v>213</v>
      </c>
      <c r="B50" s="1349"/>
      <c r="C50" s="1350"/>
      <c r="D50" s="448"/>
      <c r="E50" s="448"/>
      <c r="F50" s="448"/>
      <c r="G50" s="448"/>
      <c r="H50" s="449"/>
    </row>
    <row r="51" spans="1:10">
      <c r="A51" s="1351"/>
      <c r="B51" s="1352"/>
      <c r="C51" s="1353"/>
      <c r="D51" s="436"/>
      <c r="E51" s="450" t="s">
        <v>78</v>
      </c>
      <c r="F51" s="436"/>
      <c r="G51" s="436"/>
      <c r="H51" s="451"/>
    </row>
    <row r="52" spans="1:10" ht="15.75" thickBot="1">
      <c r="A52" s="1354"/>
      <c r="B52" s="1355"/>
      <c r="C52" s="1356"/>
      <c r="D52" s="1360"/>
      <c r="E52" s="1361"/>
      <c r="F52" s="1361"/>
      <c r="G52" s="1361"/>
      <c r="H52" s="1362"/>
    </row>
    <row r="53" spans="1:10">
      <c r="A53" s="455"/>
      <c r="B53" s="436"/>
      <c r="C53" s="436"/>
      <c r="D53" s="436"/>
      <c r="E53" s="436"/>
      <c r="F53" s="436"/>
      <c r="G53" s="436"/>
      <c r="H53" s="436"/>
    </row>
    <row r="54" spans="1:10" s="446" customFormat="1" ht="12.75">
      <c r="A54" s="455" t="s">
        <v>1146</v>
      </c>
      <c r="B54" s="456" t="str">
        <f>+PRESUPUESTO!$B$40</f>
        <v>CONCRETOS</v>
      </c>
      <c r="C54" s="436"/>
      <c r="E54" s="456"/>
      <c r="G54" s="456" t="s">
        <v>1123</v>
      </c>
      <c r="H54" s="483" t="s">
        <v>1150</v>
      </c>
      <c r="I54" s="436"/>
      <c r="J54" s="436"/>
    </row>
    <row r="55" spans="1:10" s="931" customFormat="1" ht="52.15" customHeight="1">
      <c r="A55" s="928" t="s">
        <v>1122</v>
      </c>
      <c r="B55" s="1374" t="str">
        <f>VLOOKUP(H54,PRESUPUESTO!$A$18:$F$251,2,FALSE)</f>
        <v>Vigas de fundación 35x35 cm.</v>
      </c>
      <c r="C55" s="1374"/>
      <c r="D55" s="1374"/>
      <c r="E55" s="1374"/>
      <c r="F55" s="1374"/>
      <c r="G55" s="929" t="s">
        <v>9</v>
      </c>
      <c r="H55" s="1024" t="str">
        <f>VLOOKUP(H54,PRESUPUESTO!$A$18:$F$251,3,FALSE)</f>
        <v>m3</v>
      </c>
    </row>
    <row r="56" spans="1:10">
      <c r="A56" s="456"/>
      <c r="B56" s="456"/>
      <c r="C56" s="436"/>
      <c r="D56" s="456"/>
      <c r="E56" s="456"/>
      <c r="F56" s="456"/>
      <c r="G56" s="456"/>
      <c r="H56" s="436"/>
    </row>
    <row r="57" spans="1:10" ht="15.75" thickBot="1">
      <c r="A57" s="450" t="s">
        <v>79</v>
      </c>
      <c r="B57" s="450"/>
      <c r="C57" s="436"/>
      <c r="D57" s="436"/>
      <c r="E57" s="436"/>
      <c r="F57" s="436"/>
      <c r="G57" s="436"/>
      <c r="H57" s="436"/>
    </row>
    <row r="58" spans="1:10">
      <c r="A58" s="1345" t="s">
        <v>80</v>
      </c>
      <c r="B58" s="1346"/>
      <c r="C58" s="1347"/>
      <c r="D58" s="438" t="s">
        <v>81</v>
      </c>
      <c r="E58" s="438" t="s">
        <v>82</v>
      </c>
      <c r="F58" s="438" t="s">
        <v>83</v>
      </c>
      <c r="G58" s="439" t="s">
        <v>84</v>
      </c>
      <c r="H58" s="457"/>
    </row>
    <row r="59" spans="1:10">
      <c r="A59" s="1357" t="s">
        <v>85</v>
      </c>
      <c r="B59" s="1358"/>
      <c r="C59" s="1359"/>
      <c r="D59" s="459"/>
      <c r="E59" s="440"/>
      <c r="F59" s="440"/>
      <c r="G59" s="432">
        <f>ROUND(H84*0.05,0)</f>
        <v>11504</v>
      </c>
      <c r="H59" s="460"/>
    </row>
    <row r="60" spans="1:10">
      <c r="A60" s="1357" t="s">
        <v>532</v>
      </c>
      <c r="B60" s="1358"/>
      <c r="C60" s="1359"/>
      <c r="D60" s="461" t="s">
        <v>263</v>
      </c>
      <c r="E60" s="462">
        <f>MATERIALES!$C$9</f>
        <v>35000</v>
      </c>
      <c r="F60" s="497">
        <v>0.5</v>
      </c>
      <c r="G60" s="432">
        <f>E60*F60</f>
        <v>17500</v>
      </c>
      <c r="H60" s="460"/>
    </row>
    <row r="61" spans="1:10" ht="15.75" thickBot="1">
      <c r="A61" s="1342" t="s">
        <v>669</v>
      </c>
      <c r="B61" s="1343"/>
      <c r="C61" s="1344"/>
      <c r="D61" s="464" t="s">
        <v>670</v>
      </c>
      <c r="E61" s="433">
        <v>260000</v>
      </c>
      <c r="F61" s="434">
        <f>(1/(1.83*2.44))*(0.4*2)/3*1.2</f>
        <v>7.1665322941861509E-2</v>
      </c>
      <c r="G61" s="441">
        <f>E61*F61</f>
        <v>18632.983964883992</v>
      </c>
      <c r="H61" s="465"/>
    </row>
    <row r="62" spans="1:10" ht="15.75" thickBot="1">
      <c r="A62" s="436"/>
      <c r="B62" s="436"/>
      <c r="C62" s="436"/>
      <c r="D62" s="436"/>
      <c r="E62" s="436"/>
      <c r="F62" s="436"/>
      <c r="G62" s="437" t="s">
        <v>86</v>
      </c>
      <c r="H62" s="466">
        <f>SUM(G59:G61)</f>
        <v>47636.983964883992</v>
      </c>
    </row>
    <row r="63" spans="1:10" ht="15.75" thickBot="1">
      <c r="A63" s="450" t="s">
        <v>87</v>
      </c>
      <c r="B63" s="450"/>
      <c r="C63" s="436"/>
      <c r="D63" s="436"/>
      <c r="E63" s="436"/>
      <c r="F63" s="436"/>
      <c r="G63" s="436"/>
      <c r="H63" s="436"/>
    </row>
    <row r="64" spans="1:10">
      <c r="A64" s="1345" t="s">
        <v>80</v>
      </c>
      <c r="B64" s="1346"/>
      <c r="C64" s="1347"/>
      <c r="D64" s="438" t="s">
        <v>88</v>
      </c>
      <c r="E64" s="438" t="s">
        <v>89</v>
      </c>
      <c r="F64" s="438" t="s">
        <v>90</v>
      </c>
      <c r="G64" s="439" t="s">
        <v>84</v>
      </c>
      <c r="H64" s="457"/>
    </row>
    <row r="65" spans="1:8">
      <c r="A65" s="458" t="s">
        <v>531</v>
      </c>
      <c r="B65" s="467"/>
      <c r="C65" s="468"/>
      <c r="D65" s="459" t="s">
        <v>91</v>
      </c>
      <c r="E65" s="430">
        <f>APA!$H$176</f>
        <v>561165.64333333331</v>
      </c>
      <c r="F65" s="440">
        <v>1</v>
      </c>
      <c r="G65" s="432">
        <f>E65*F65</f>
        <v>561165.64333333331</v>
      </c>
      <c r="H65" s="460"/>
    </row>
    <row r="66" spans="1:8">
      <c r="A66" s="469" t="s">
        <v>671</v>
      </c>
      <c r="B66" s="467"/>
      <c r="C66" s="468"/>
      <c r="D66" s="459" t="s">
        <v>672</v>
      </c>
      <c r="E66" s="430">
        <v>7600</v>
      </c>
      <c r="F66" s="440">
        <f>1/5</f>
        <v>0.2</v>
      </c>
      <c r="G66" s="432">
        <f>+E66*F66</f>
        <v>1520</v>
      </c>
      <c r="H66" s="460"/>
    </row>
    <row r="68" spans="1:8">
      <c r="A68" s="469"/>
      <c r="B68" s="467"/>
      <c r="C68" s="468"/>
      <c r="D68" s="459"/>
      <c r="E68" s="430"/>
      <c r="F68" s="431"/>
      <c r="G68" s="432"/>
      <c r="H68" s="460"/>
    </row>
    <row r="69" spans="1:8">
      <c r="A69" s="469" t="s">
        <v>93</v>
      </c>
      <c r="B69" s="467"/>
      <c r="C69" s="471">
        <v>0.05</v>
      </c>
      <c r="D69" s="459"/>
      <c r="F69" s="431"/>
      <c r="G69" s="432">
        <f>SUM(G65:G68)*C69</f>
        <v>28134.282166666668</v>
      </c>
      <c r="H69" s="460"/>
    </row>
    <row r="70" spans="1:8" ht="15.75" thickBot="1">
      <c r="A70" s="472"/>
      <c r="B70" s="473"/>
      <c r="C70" s="474"/>
      <c r="D70" s="464"/>
      <c r="E70" s="433"/>
      <c r="F70" s="434"/>
      <c r="G70" s="435"/>
      <c r="H70" s="465"/>
    </row>
    <row r="71" spans="1:8" ht="15.75" thickBot="1">
      <c r="A71" s="436"/>
      <c r="B71" s="436"/>
      <c r="C71" s="436"/>
      <c r="D71" s="436"/>
      <c r="E71" s="436"/>
      <c r="F71" s="436"/>
      <c r="G71" s="437" t="s">
        <v>86</v>
      </c>
      <c r="H71" s="466">
        <f>SUM(G65:G70)</f>
        <v>590819.92550000001</v>
      </c>
    </row>
    <row r="72" spans="1:8" ht="15.75" thickBot="1">
      <c r="A72" s="450" t="s">
        <v>94</v>
      </c>
      <c r="B72" s="450"/>
      <c r="C72" s="436"/>
      <c r="D72" s="436"/>
      <c r="E72" s="436"/>
      <c r="F72" s="436"/>
      <c r="G72" s="436"/>
      <c r="H72" s="436"/>
    </row>
    <row r="73" spans="1:8">
      <c r="A73" s="1345" t="s">
        <v>95</v>
      </c>
      <c r="B73" s="1346"/>
      <c r="C73" s="1347"/>
      <c r="D73" s="438" t="s">
        <v>88</v>
      </c>
      <c r="E73" s="438" t="s">
        <v>89</v>
      </c>
      <c r="F73" s="438" t="s">
        <v>90</v>
      </c>
      <c r="G73" s="439" t="s">
        <v>84</v>
      </c>
      <c r="H73" s="457"/>
    </row>
    <row r="74" spans="1:8">
      <c r="A74" s="458" t="s">
        <v>235</v>
      </c>
      <c r="B74" s="467"/>
      <c r="C74" s="468"/>
      <c r="D74" s="459" t="s">
        <v>91</v>
      </c>
      <c r="E74" s="674">
        <v>14500</v>
      </c>
      <c r="F74" s="440">
        <v>1</v>
      </c>
      <c r="G74" s="432">
        <f>E74*F74</f>
        <v>14500</v>
      </c>
      <c r="H74" s="460"/>
    </row>
    <row r="75" spans="1:8" ht="15.75" thickBot="1">
      <c r="A75" s="1342" t="s">
        <v>673</v>
      </c>
      <c r="B75" s="1343"/>
      <c r="C75" s="1344"/>
      <c r="D75" s="475" t="s">
        <v>674</v>
      </c>
      <c r="E75" s="433">
        <v>165000</v>
      </c>
      <c r="F75" s="434">
        <f>1/12</f>
        <v>8.3333333333333329E-2</v>
      </c>
      <c r="G75" s="441">
        <f>+E75*F75</f>
        <v>13750</v>
      </c>
      <c r="H75" s="460"/>
    </row>
    <row r="76" spans="1:8" ht="15.75" thickBot="1">
      <c r="A76" s="436"/>
      <c r="B76" s="436"/>
      <c r="C76" s="436"/>
      <c r="D76" s="436"/>
      <c r="E76" s="436"/>
      <c r="F76" s="436"/>
      <c r="G76" s="437" t="s">
        <v>86</v>
      </c>
      <c r="H76" s="466">
        <f>SUM(G74:G75)</f>
        <v>28250</v>
      </c>
    </row>
    <row r="77" spans="1:8" ht="15.75" thickBot="1">
      <c r="A77" s="450" t="s">
        <v>96</v>
      </c>
      <c r="B77" s="450"/>
      <c r="C77" s="436"/>
      <c r="D77" s="436"/>
      <c r="E77" s="436"/>
      <c r="F77" s="436"/>
      <c r="G77" s="436"/>
      <c r="H77" s="436"/>
    </row>
    <row r="78" spans="1:8">
      <c r="A78" s="476" t="s">
        <v>97</v>
      </c>
      <c r="B78" s="438"/>
      <c r="C78" s="438" t="s">
        <v>98</v>
      </c>
      <c r="D78" s="438" t="s">
        <v>99</v>
      </c>
      <c r="E78" s="442" t="s">
        <v>100</v>
      </c>
      <c r="F78" s="443" t="s">
        <v>83</v>
      </c>
      <c r="G78" s="444" t="s">
        <v>84</v>
      </c>
      <c r="H78" s="477"/>
    </row>
    <row r="79" spans="1:8">
      <c r="A79" s="478" t="s">
        <v>227</v>
      </c>
      <c r="B79" s="542">
        <v>2</v>
      </c>
      <c r="C79" s="479">
        <f>PERSONAL!$E$31</f>
        <v>48800</v>
      </c>
      <c r="D79" s="480">
        <f>PERSONAL!$F$31</f>
        <v>1.7431000000000001</v>
      </c>
      <c r="E79" s="440">
        <f>+D79*C79*B79</f>
        <v>170126.56</v>
      </c>
      <c r="F79" s="440">
        <v>1.4</v>
      </c>
      <c r="G79" s="445">
        <f>ROUND(E79/F79,0)</f>
        <v>121519</v>
      </c>
      <c r="H79" s="451"/>
    </row>
    <row r="80" spans="1:8">
      <c r="A80" s="478" t="s">
        <v>101</v>
      </c>
      <c r="B80" s="498">
        <v>1</v>
      </c>
      <c r="C80" s="479">
        <f>PERSONAL!$E$32</f>
        <v>87200</v>
      </c>
      <c r="D80" s="480">
        <f>PERSONAL!$F$31</f>
        <v>1.7431000000000001</v>
      </c>
      <c r="E80" s="440">
        <f>+D80*C80*B80</f>
        <v>151998.32</v>
      </c>
      <c r="F80" s="440">
        <f>+F79</f>
        <v>1.4</v>
      </c>
      <c r="G80" s="445">
        <f>ROUND(E80/F80,0)</f>
        <v>108570</v>
      </c>
      <c r="H80" s="451"/>
    </row>
    <row r="81" spans="1:9">
      <c r="A81" s="478"/>
      <c r="B81" s="468"/>
      <c r="C81" s="430"/>
      <c r="D81" s="459"/>
      <c r="E81" s="430"/>
      <c r="F81" s="440"/>
      <c r="G81" s="445"/>
      <c r="H81" s="451"/>
    </row>
    <row r="82" spans="1:9">
      <c r="A82" s="478"/>
      <c r="B82" s="468"/>
      <c r="C82" s="430"/>
      <c r="D82" s="459"/>
      <c r="E82" s="430"/>
      <c r="F82" s="440"/>
      <c r="G82" s="445"/>
      <c r="H82" s="451"/>
    </row>
    <row r="83" spans="1:9" ht="15.75" thickBot="1">
      <c r="A83" s="481"/>
      <c r="B83" s="474"/>
      <c r="C83" s="474"/>
      <c r="D83" s="474"/>
      <c r="E83" s="474"/>
      <c r="F83" s="474"/>
      <c r="G83" s="482"/>
      <c r="H83" s="482"/>
    </row>
    <row r="84" spans="1:9" ht="15.75" thickBot="1">
      <c r="A84" s="436"/>
      <c r="B84" s="436"/>
      <c r="C84" s="436"/>
      <c r="D84" s="436"/>
      <c r="E84" s="436"/>
      <c r="F84" s="436"/>
      <c r="G84" s="437" t="s">
        <v>86</v>
      </c>
      <c r="H84" s="466">
        <f>SUM(G79:G83)</f>
        <v>230089</v>
      </c>
      <c r="I84" s="699">
        <f>+H84/H86</f>
        <v>0.25656785180620811</v>
      </c>
    </row>
    <row r="85" spans="1:9" ht="15.75" thickBot="1">
      <c r="A85" s="436"/>
      <c r="B85" s="436"/>
      <c r="C85" s="436"/>
      <c r="D85" s="436"/>
      <c r="E85" s="436"/>
      <c r="F85" s="436"/>
      <c r="G85" s="483"/>
      <c r="H85" s="436"/>
    </row>
    <row r="86" spans="1:9" ht="15.75" thickBot="1">
      <c r="A86" s="436"/>
      <c r="B86" s="436"/>
      <c r="C86" s="436"/>
      <c r="D86" s="436"/>
      <c r="E86" s="484" t="s">
        <v>102</v>
      </c>
      <c r="F86" s="485"/>
      <c r="G86" s="485"/>
      <c r="H86" s="466">
        <f>H62+H71+H76+H84</f>
        <v>896795.90946488397</v>
      </c>
    </row>
    <row r="87" spans="1:9" ht="15.75" thickBot="1">
      <c r="A87" s="450" t="s">
        <v>103</v>
      </c>
      <c r="B87" s="450"/>
      <c r="C87" s="436"/>
      <c r="D87" s="436"/>
      <c r="E87" s="436"/>
      <c r="F87" s="436"/>
      <c r="G87" s="436"/>
      <c r="H87" s="436"/>
    </row>
    <row r="88" spans="1:9">
      <c r="A88" s="487" t="s">
        <v>80</v>
      </c>
      <c r="B88" s="488"/>
      <c r="C88" s="488"/>
      <c r="D88" s="488"/>
      <c r="E88" s="489"/>
      <c r="F88" s="490" t="s">
        <v>104</v>
      </c>
      <c r="G88" s="491" t="s">
        <v>105</v>
      </c>
      <c r="H88" s="457"/>
    </row>
    <row r="89" spans="1:9">
      <c r="A89" s="469" t="s">
        <v>106</v>
      </c>
      <c r="B89" s="467"/>
      <c r="C89" s="467"/>
      <c r="D89" s="467"/>
      <c r="E89" s="468"/>
      <c r="F89" s="492">
        <f>PRESUPUESTO!$E$222</f>
        <v>0.109</v>
      </c>
      <c r="G89" s="493">
        <f>+F89*H86</f>
        <v>97750.754131672351</v>
      </c>
      <c r="H89" s="460"/>
    </row>
    <row r="90" spans="1:9" ht="15.75" thickBot="1">
      <c r="A90" s="472" t="s">
        <v>108</v>
      </c>
      <c r="B90" s="473"/>
      <c r="C90" s="473"/>
      <c r="D90" s="473"/>
      <c r="E90" s="474"/>
      <c r="F90" s="494">
        <f>PRESUPUESTO!$E$223</f>
        <v>0.05</v>
      </c>
      <c r="G90" s="495">
        <f>+F90*H86</f>
        <v>44839.795473244201</v>
      </c>
      <c r="H90" s="465"/>
    </row>
    <row r="91" spans="1:9" ht="15.75" thickBot="1">
      <c r="A91" s="436"/>
      <c r="B91" s="436"/>
      <c r="C91" s="436"/>
      <c r="D91" s="436"/>
      <c r="E91" s="436"/>
      <c r="F91" s="436"/>
      <c r="G91" s="437" t="s">
        <v>86</v>
      </c>
      <c r="H91" s="496">
        <f>SUM(G89:G90)</f>
        <v>142590.54960491654</v>
      </c>
    </row>
    <row r="92" spans="1:9" ht="15.75" thickBot="1">
      <c r="A92" s="436"/>
      <c r="B92" s="436"/>
      <c r="C92" s="436"/>
      <c r="D92" s="436"/>
      <c r="E92" s="436"/>
      <c r="F92" s="436"/>
      <c r="G92" s="436"/>
      <c r="H92" s="436"/>
    </row>
    <row r="93" spans="1:9" ht="15.75" thickBot="1">
      <c r="A93" s="446"/>
      <c r="B93" s="446"/>
      <c r="C93" s="436"/>
      <c r="D93" s="484" t="s">
        <v>109</v>
      </c>
      <c r="E93" s="485"/>
      <c r="F93" s="485"/>
      <c r="G93" s="485"/>
      <c r="H93" s="466">
        <f>ROUND((H86+H91),0)</f>
        <v>1039386</v>
      </c>
    </row>
    <row r="94" spans="1:9">
      <c r="A94" s="446"/>
      <c r="B94" s="446"/>
      <c r="C94" s="446"/>
      <c r="D94" s="446"/>
      <c r="E94" s="446"/>
      <c r="F94" s="446"/>
      <c r="G94" s="446"/>
      <c r="H94" s="446"/>
    </row>
    <row r="95" spans="1:9">
      <c r="A95" s="186" t="s">
        <v>77</v>
      </c>
      <c r="B95" s="446"/>
      <c r="C95" s="446"/>
      <c r="D95" s="446"/>
      <c r="E95" s="446"/>
      <c r="F95" s="446"/>
      <c r="G95" s="446"/>
      <c r="H95" s="446"/>
    </row>
    <row r="96" spans="1:9" ht="15.75" thickBot="1">
      <c r="A96" s="446"/>
      <c r="B96" s="446"/>
      <c r="C96" s="446"/>
      <c r="D96" s="446"/>
      <c r="E96" s="446"/>
      <c r="F96" s="446"/>
      <c r="G96" s="446"/>
      <c r="H96" s="446"/>
    </row>
    <row r="97" spans="1:10">
      <c r="A97" s="1348" t="s">
        <v>213</v>
      </c>
      <c r="B97" s="1349"/>
      <c r="C97" s="1350"/>
      <c r="D97" s="448"/>
      <c r="E97" s="448"/>
      <c r="F97" s="448"/>
      <c r="G97" s="448"/>
      <c r="H97" s="449"/>
    </row>
    <row r="98" spans="1:10">
      <c r="A98" s="1351"/>
      <c r="B98" s="1352"/>
      <c r="C98" s="1353"/>
      <c r="D98" s="436"/>
      <c r="E98" s="450" t="s">
        <v>78</v>
      </c>
      <c r="F98" s="436"/>
      <c r="G98" s="436"/>
      <c r="H98" s="451"/>
    </row>
    <row r="99" spans="1:10" ht="15.75" thickBot="1">
      <c r="A99" s="1354"/>
      <c r="B99" s="1355"/>
      <c r="C99" s="1356"/>
      <c r="D99" s="1360"/>
      <c r="E99" s="1361"/>
      <c r="F99" s="1361"/>
      <c r="G99" s="1361"/>
      <c r="H99" s="1362"/>
    </row>
    <row r="100" spans="1:10">
      <c r="A100" s="455"/>
      <c r="B100" s="436"/>
      <c r="C100" s="436"/>
      <c r="D100" s="436"/>
      <c r="E100" s="436"/>
      <c r="F100" s="436"/>
      <c r="G100" s="436"/>
      <c r="H100" s="436"/>
    </row>
    <row r="101" spans="1:10" s="446" customFormat="1" ht="12.75">
      <c r="A101" s="455" t="s">
        <v>1146</v>
      </c>
      <c r="B101" s="456" t="str">
        <f>+PRESUPUESTO!$B$40</f>
        <v>CONCRETOS</v>
      </c>
      <c r="C101" s="436"/>
      <c r="E101" s="456"/>
      <c r="G101" s="456" t="s">
        <v>1123</v>
      </c>
      <c r="H101" s="483" t="s">
        <v>1151</v>
      </c>
      <c r="I101" s="436"/>
      <c r="J101" s="436"/>
    </row>
    <row r="102" spans="1:10" s="931" customFormat="1" ht="52.15" customHeight="1">
      <c r="A102" s="928" t="s">
        <v>1122</v>
      </c>
      <c r="B102" s="1374" t="str">
        <f>VLOOKUP(H101,PRESUPUESTO!$A$18:$F$251,2,FALSE)</f>
        <v>Vigas dintel 12x20 cm.</v>
      </c>
      <c r="C102" s="1374"/>
      <c r="D102" s="1374"/>
      <c r="E102" s="1374"/>
      <c r="F102" s="1374"/>
      <c r="G102" s="929" t="s">
        <v>9</v>
      </c>
      <c r="H102" s="1024" t="str">
        <f>VLOOKUP(H101,PRESUPUESTO!$A$18:$F$251,3,FALSE)</f>
        <v>ml</v>
      </c>
    </row>
    <row r="103" spans="1:10">
      <c r="A103" s="456"/>
      <c r="B103" s="456"/>
      <c r="C103" s="436"/>
      <c r="D103" s="456"/>
      <c r="E103" s="456"/>
      <c r="F103" s="456"/>
      <c r="G103" s="456"/>
      <c r="H103" s="436"/>
    </row>
    <row r="104" spans="1:10" ht="15.75" thickBot="1">
      <c r="A104" s="450" t="s">
        <v>79</v>
      </c>
      <c r="B104" s="450"/>
      <c r="C104" s="436"/>
      <c r="D104" s="436"/>
      <c r="E104" s="436"/>
      <c r="F104" s="436"/>
      <c r="G104" s="436"/>
      <c r="H104" s="436"/>
    </row>
    <row r="105" spans="1:10">
      <c r="A105" s="1345" t="s">
        <v>80</v>
      </c>
      <c r="B105" s="1346"/>
      <c r="C105" s="1347"/>
      <c r="D105" s="438" t="s">
        <v>81</v>
      </c>
      <c r="E105" s="438" t="s">
        <v>82</v>
      </c>
      <c r="F105" s="438" t="s">
        <v>83</v>
      </c>
      <c r="G105" s="439" t="s">
        <v>84</v>
      </c>
      <c r="H105" s="457"/>
    </row>
    <row r="106" spans="1:10">
      <c r="A106" s="1357" t="s">
        <v>85</v>
      </c>
      <c r="B106" s="1358"/>
      <c r="C106" s="1359"/>
      <c r="D106" s="459"/>
      <c r="E106" s="440"/>
      <c r="F106" s="440"/>
      <c r="G106" s="432">
        <f>ROUND(H131*0.05,0)</f>
        <v>1611</v>
      </c>
      <c r="H106" s="460"/>
    </row>
    <row r="107" spans="1:10">
      <c r="A107" s="1357" t="s">
        <v>532</v>
      </c>
      <c r="B107" s="1358"/>
      <c r="C107" s="1359"/>
      <c r="D107" s="461" t="s">
        <v>263</v>
      </c>
      <c r="E107" s="462">
        <f>MATERIALES!$C$9</f>
        <v>35000</v>
      </c>
      <c r="F107" s="497">
        <v>0.5</v>
      </c>
      <c r="G107" s="432">
        <f>E107*F107</f>
        <v>17500</v>
      </c>
      <c r="H107" s="460"/>
    </row>
    <row r="108" spans="1:10" ht="15.75" thickBot="1">
      <c r="A108" s="1342"/>
      <c r="B108" s="1343"/>
      <c r="C108" s="1344"/>
      <c r="D108" s="464"/>
      <c r="E108" s="433"/>
      <c r="F108" s="434"/>
      <c r="G108" s="441">
        <f>E108*F108</f>
        <v>0</v>
      </c>
      <c r="H108" s="465"/>
    </row>
    <row r="109" spans="1:10" ht="15.75" thickBot="1">
      <c r="A109" s="436"/>
      <c r="B109" s="436"/>
      <c r="C109" s="436"/>
      <c r="D109" s="436"/>
      <c r="E109" s="436"/>
      <c r="F109" s="436"/>
      <c r="G109" s="437" t="s">
        <v>86</v>
      </c>
      <c r="H109" s="466">
        <f>SUM(G106:G108)</f>
        <v>19111</v>
      </c>
    </row>
    <row r="110" spans="1:10" ht="15.75" thickBot="1">
      <c r="A110" s="450" t="s">
        <v>87</v>
      </c>
      <c r="B110" s="450"/>
      <c r="C110" s="436"/>
      <c r="D110" s="436"/>
      <c r="E110" s="436"/>
      <c r="F110" s="436"/>
      <c r="G110" s="436"/>
      <c r="H110" s="436"/>
    </row>
    <row r="111" spans="1:10">
      <c r="A111" s="1345" t="s">
        <v>80</v>
      </c>
      <c r="B111" s="1346"/>
      <c r="C111" s="1347"/>
      <c r="D111" s="438" t="s">
        <v>88</v>
      </c>
      <c r="E111" s="438" t="s">
        <v>89</v>
      </c>
      <c r="F111" s="438" t="s">
        <v>90</v>
      </c>
      <c r="G111" s="439" t="s">
        <v>84</v>
      </c>
      <c r="H111" s="457"/>
    </row>
    <row r="112" spans="1:10">
      <c r="A112" s="458" t="s">
        <v>531</v>
      </c>
      <c r="B112" s="467"/>
      <c r="C112" s="468"/>
      <c r="D112" s="459" t="s">
        <v>534</v>
      </c>
      <c r="E112" s="430">
        <f>APA!$H$176</f>
        <v>561165.64333333331</v>
      </c>
      <c r="F112" s="440">
        <f>0.12*0.2</f>
        <v>2.4E-2</v>
      </c>
      <c r="G112" s="432">
        <f>E112*F112</f>
        <v>13467.97544</v>
      </c>
      <c r="H112" s="460"/>
    </row>
    <row r="113" spans="1:9">
      <c r="A113" s="469" t="s">
        <v>535</v>
      </c>
      <c r="B113" s="467"/>
      <c r="C113" s="468"/>
      <c r="D113" s="459" t="s">
        <v>271</v>
      </c>
      <c r="E113" s="470">
        <v>35000</v>
      </c>
      <c r="F113" s="686">
        <f>1/3</f>
        <v>0.33333333333333331</v>
      </c>
      <c r="G113" s="432">
        <f>F113*E113</f>
        <v>11666.666666666666</v>
      </c>
      <c r="H113" s="460"/>
      <c r="I113" s="683"/>
    </row>
    <row r="114" spans="1:9">
      <c r="A114" s="469" t="s">
        <v>93</v>
      </c>
      <c r="B114" s="467"/>
      <c r="C114" s="471">
        <v>0.05</v>
      </c>
      <c r="D114" s="459"/>
      <c r="F114" s="431"/>
      <c r="G114" s="432">
        <f>SUM(G111:G113)*C114</f>
        <v>1256.7321053333335</v>
      </c>
      <c r="H114" s="460"/>
    </row>
    <row r="115" spans="1:9">
      <c r="A115" s="469"/>
      <c r="B115" s="467"/>
      <c r="C115" s="468"/>
      <c r="D115" s="459"/>
      <c r="E115" s="430"/>
      <c r="F115" s="431"/>
      <c r="G115" s="432"/>
      <c r="H115" s="460"/>
    </row>
    <row r="116" spans="1:9">
      <c r="A116" s="469"/>
      <c r="B116" s="467"/>
      <c r="C116" s="468"/>
      <c r="D116" s="459"/>
      <c r="E116" s="430"/>
      <c r="F116" s="431"/>
      <c r="G116" s="432"/>
      <c r="H116" s="460"/>
    </row>
    <row r="117" spans="1:9" ht="15.75" thickBot="1">
      <c r="A117" s="472"/>
      <c r="B117" s="473"/>
      <c r="C117" s="474"/>
      <c r="D117" s="464"/>
      <c r="E117" s="433"/>
      <c r="F117" s="434"/>
      <c r="G117" s="435"/>
      <c r="H117" s="465"/>
    </row>
    <row r="118" spans="1:9" ht="15.75" thickBot="1">
      <c r="A118" s="436"/>
      <c r="B118" s="436"/>
      <c r="C118" s="436"/>
      <c r="D118" s="436"/>
      <c r="E118" s="436"/>
      <c r="F118" s="436"/>
      <c r="G118" s="437" t="s">
        <v>86</v>
      </c>
      <c r="H118" s="466">
        <f>SUM(G112:G117)</f>
        <v>26391.374211999999</v>
      </c>
    </row>
    <row r="119" spans="1:9" ht="15.75" thickBot="1">
      <c r="A119" s="450" t="s">
        <v>94</v>
      </c>
      <c r="B119" s="450"/>
      <c r="C119" s="436"/>
      <c r="D119" s="436"/>
      <c r="E119" s="436"/>
      <c r="F119" s="436"/>
      <c r="G119" s="436"/>
      <c r="H119" s="436"/>
    </row>
    <row r="120" spans="1:9">
      <c r="A120" s="1345" t="s">
        <v>95</v>
      </c>
      <c r="B120" s="1346"/>
      <c r="C120" s="1347"/>
      <c r="D120" s="438" t="s">
        <v>88</v>
      </c>
      <c r="E120" s="438" t="s">
        <v>89</v>
      </c>
      <c r="F120" s="438" t="s">
        <v>90</v>
      </c>
      <c r="G120" s="439" t="s">
        <v>84</v>
      </c>
      <c r="H120" s="457"/>
    </row>
    <row r="121" spans="1:9">
      <c r="A121" s="458" t="s">
        <v>235</v>
      </c>
      <c r="B121" s="467"/>
      <c r="C121" s="468"/>
      <c r="D121" s="459" t="s">
        <v>271</v>
      </c>
      <c r="E121" s="430">
        <v>4000</v>
      </c>
      <c r="F121" s="440">
        <v>1</v>
      </c>
      <c r="G121" s="432">
        <f>E121*F121</f>
        <v>4000</v>
      </c>
      <c r="H121" s="460"/>
    </row>
    <row r="122" spans="1:9" ht="15.75" thickBot="1">
      <c r="A122" s="1342"/>
      <c r="B122" s="1343"/>
      <c r="C122" s="1344"/>
      <c r="D122" s="475"/>
      <c r="E122" s="433"/>
      <c r="F122" s="434"/>
      <c r="G122" s="441"/>
      <c r="H122" s="460"/>
    </row>
    <row r="123" spans="1:9" ht="15.75" thickBot="1">
      <c r="A123" s="436"/>
      <c r="B123" s="436"/>
      <c r="C123" s="436"/>
      <c r="D123" s="436"/>
      <c r="E123" s="436"/>
      <c r="F123" s="436"/>
      <c r="G123" s="437" t="s">
        <v>86</v>
      </c>
      <c r="H123" s="466">
        <f>SUM(G121:G122)</f>
        <v>4000</v>
      </c>
      <c r="I123" s="699"/>
    </row>
    <row r="124" spans="1:9" ht="15.75" thickBot="1">
      <c r="A124" s="450" t="s">
        <v>96</v>
      </c>
      <c r="B124" s="450"/>
      <c r="C124" s="436"/>
      <c r="D124" s="436"/>
      <c r="E124" s="436"/>
      <c r="F124" s="436"/>
      <c r="G124" s="436"/>
      <c r="H124" s="436"/>
    </row>
    <row r="125" spans="1:9">
      <c r="A125" s="476" t="s">
        <v>97</v>
      </c>
      <c r="B125" s="438"/>
      <c r="C125" s="438" t="s">
        <v>98</v>
      </c>
      <c r="D125" s="438" t="s">
        <v>99</v>
      </c>
      <c r="E125" s="442" t="s">
        <v>100</v>
      </c>
      <c r="F125" s="443" t="s">
        <v>83</v>
      </c>
      <c r="G125" s="444" t="s">
        <v>84</v>
      </c>
      <c r="H125" s="477"/>
    </row>
    <row r="126" spans="1:9">
      <c r="A126" s="478" t="s">
        <v>227</v>
      </c>
      <c r="B126" s="542">
        <v>2</v>
      </c>
      <c r="C126" s="479">
        <f>PERSONAL!$E$31</f>
        <v>48800</v>
      </c>
      <c r="D126" s="480">
        <f>PERSONAL!$F$31</f>
        <v>1.7431000000000001</v>
      </c>
      <c r="E126" s="440">
        <f>+D126*C126*B126</f>
        <v>170126.56</v>
      </c>
      <c r="F126" s="686">
        <v>10</v>
      </c>
      <c r="G126" s="445">
        <f>ROUND(E126/F126,0)</f>
        <v>17013</v>
      </c>
      <c r="H126" s="451"/>
    </row>
    <row r="127" spans="1:9">
      <c r="A127" s="478" t="s">
        <v>101</v>
      </c>
      <c r="B127" s="498">
        <v>1</v>
      </c>
      <c r="C127" s="479">
        <f>PERSONAL!$E$32</f>
        <v>87200</v>
      </c>
      <c r="D127" s="480">
        <f>PERSONAL!$F$31</f>
        <v>1.7431000000000001</v>
      </c>
      <c r="E127" s="440">
        <f>+D127*C127*B127</f>
        <v>151998.32</v>
      </c>
      <c r="F127" s="686">
        <f>+F126</f>
        <v>10</v>
      </c>
      <c r="G127" s="445">
        <f>ROUND(E127/F127,0)</f>
        <v>15200</v>
      </c>
      <c r="H127" s="451"/>
    </row>
    <row r="128" spans="1:9">
      <c r="A128" s="478"/>
      <c r="B128" s="468"/>
      <c r="C128" s="430"/>
      <c r="D128" s="459"/>
      <c r="E128" s="430"/>
      <c r="F128" s="440"/>
      <c r="G128" s="445"/>
      <c r="H128" s="451"/>
    </row>
    <row r="129" spans="1:8">
      <c r="A129" s="478"/>
      <c r="B129" s="468"/>
      <c r="C129" s="430"/>
      <c r="D129" s="459"/>
      <c r="E129" s="430"/>
      <c r="F129" s="440"/>
      <c r="G129" s="445"/>
      <c r="H129" s="451"/>
    </row>
    <row r="130" spans="1:8" ht="15.75" thickBot="1">
      <c r="A130" s="481"/>
      <c r="B130" s="474"/>
      <c r="C130" s="474"/>
      <c r="D130" s="474"/>
      <c r="E130" s="474"/>
      <c r="F130" s="474"/>
      <c r="G130" s="482"/>
      <c r="H130" s="482"/>
    </row>
    <row r="131" spans="1:8" ht="15.75" thickBot="1">
      <c r="A131" s="436"/>
      <c r="B131" s="436"/>
      <c r="C131" s="436"/>
      <c r="D131" s="436"/>
      <c r="E131" s="436"/>
      <c r="F131" s="436"/>
      <c r="G131" s="437" t="s">
        <v>86</v>
      </c>
      <c r="H131" s="466">
        <f>SUM(G126:G130)</f>
        <v>32213</v>
      </c>
    </row>
    <row r="132" spans="1:8" ht="15.75" thickBot="1">
      <c r="A132" s="436"/>
      <c r="B132" s="436"/>
      <c r="C132" s="436"/>
      <c r="D132" s="436"/>
      <c r="E132" s="436"/>
      <c r="F132" s="436"/>
      <c r="G132" s="483"/>
      <c r="H132" s="436"/>
    </row>
    <row r="133" spans="1:8" ht="15.75" thickBot="1">
      <c r="A133" s="436"/>
      <c r="B133" s="436"/>
      <c r="C133" s="436"/>
      <c r="D133" s="436"/>
      <c r="E133" s="484" t="s">
        <v>102</v>
      </c>
      <c r="F133" s="485"/>
      <c r="G133" s="485"/>
      <c r="H133" s="466">
        <f>H109+H118+H123+H131</f>
        <v>81715.374211999995</v>
      </c>
    </row>
    <row r="134" spans="1:8" ht="15.75" thickBot="1">
      <c r="A134" s="450" t="s">
        <v>103</v>
      </c>
      <c r="B134" s="450"/>
      <c r="C134" s="436"/>
      <c r="D134" s="436"/>
      <c r="E134" s="436"/>
      <c r="F134" s="436"/>
      <c r="G134" s="436"/>
      <c r="H134" s="436"/>
    </row>
    <row r="135" spans="1:8">
      <c r="A135" s="487" t="s">
        <v>80</v>
      </c>
      <c r="B135" s="488"/>
      <c r="C135" s="488"/>
      <c r="D135" s="488"/>
      <c r="E135" s="489"/>
      <c r="F135" s="490" t="s">
        <v>104</v>
      </c>
      <c r="G135" s="491" t="s">
        <v>105</v>
      </c>
      <c r="H135" s="457"/>
    </row>
    <row r="136" spans="1:8">
      <c r="A136" s="469" t="s">
        <v>106</v>
      </c>
      <c r="B136" s="467"/>
      <c r="C136" s="467"/>
      <c r="D136" s="467"/>
      <c r="E136" s="468"/>
      <c r="F136" s="492">
        <f>PRESUPUESTO!$E$222</f>
        <v>0.109</v>
      </c>
      <c r="G136" s="493">
        <f>+F136*H133</f>
        <v>8906.9757891079989</v>
      </c>
      <c r="H136" s="460"/>
    </row>
    <row r="137" spans="1:8" ht="15.75" thickBot="1">
      <c r="A137" s="472" t="s">
        <v>108</v>
      </c>
      <c r="B137" s="473"/>
      <c r="C137" s="473"/>
      <c r="D137" s="473"/>
      <c r="E137" s="474"/>
      <c r="F137" s="494">
        <f>PRESUPUESTO!$E$223</f>
        <v>0.05</v>
      </c>
      <c r="G137" s="495">
        <f>+F137*H133</f>
        <v>4085.7687105999998</v>
      </c>
      <c r="H137" s="465"/>
    </row>
    <row r="138" spans="1:8" ht="15.75" thickBot="1">
      <c r="A138" s="436"/>
      <c r="B138" s="436"/>
      <c r="C138" s="436"/>
      <c r="D138" s="436"/>
      <c r="E138" s="436"/>
      <c r="F138" s="436"/>
      <c r="G138" s="437" t="s">
        <v>86</v>
      </c>
      <c r="H138" s="496">
        <f>SUM(G136:G137)</f>
        <v>12992.744499707998</v>
      </c>
    </row>
    <row r="139" spans="1:8" ht="15.75" thickBot="1">
      <c r="A139" s="436"/>
      <c r="B139" s="436"/>
      <c r="C139" s="436"/>
      <c r="D139" s="436"/>
      <c r="E139" s="436"/>
      <c r="F139" s="436"/>
      <c r="G139" s="436"/>
      <c r="H139" s="436"/>
    </row>
    <row r="140" spans="1:8" ht="15.75" thickBot="1">
      <c r="A140" s="446"/>
      <c r="B140" s="446"/>
      <c r="C140" s="436"/>
      <c r="D140" s="484" t="s">
        <v>109</v>
      </c>
      <c r="E140" s="485"/>
      <c r="F140" s="485"/>
      <c r="G140" s="485"/>
      <c r="H140" s="466">
        <f>ROUND((H133+H138),0)</f>
        <v>94708</v>
      </c>
    </row>
    <row r="142" spans="1:8">
      <c r="A142" s="186" t="s">
        <v>77</v>
      </c>
      <c r="B142" s="446"/>
      <c r="C142" s="446"/>
      <c r="D142" s="446"/>
      <c r="E142" s="446"/>
      <c r="F142" s="446"/>
      <c r="G142" s="446"/>
      <c r="H142" s="446"/>
    </row>
    <row r="143" spans="1:8" ht="15.75" thickBot="1">
      <c r="A143" s="446"/>
      <c r="B143" s="446"/>
      <c r="C143" s="446"/>
      <c r="D143" s="446"/>
      <c r="E143" s="446"/>
      <c r="F143" s="446"/>
      <c r="G143" s="446"/>
      <c r="H143" s="446"/>
    </row>
    <row r="144" spans="1:8">
      <c r="A144" s="1348" t="s">
        <v>213</v>
      </c>
      <c r="B144" s="1349"/>
      <c r="C144" s="1350"/>
      <c r="D144" s="448"/>
      <c r="E144" s="448"/>
      <c r="F144" s="448"/>
      <c r="G144" s="448"/>
      <c r="H144" s="449"/>
    </row>
    <row r="145" spans="1:11">
      <c r="A145" s="1351"/>
      <c r="B145" s="1352"/>
      <c r="C145" s="1353"/>
      <c r="D145" s="436"/>
      <c r="E145" s="450" t="s">
        <v>78</v>
      </c>
      <c r="F145" s="436"/>
      <c r="G145" s="436"/>
      <c r="H145" s="451"/>
    </row>
    <row r="146" spans="1:11" ht="15.75" thickBot="1">
      <c r="A146" s="1354"/>
      <c r="B146" s="1355"/>
      <c r="C146" s="1356"/>
      <c r="D146" s="1360"/>
      <c r="E146" s="1361"/>
      <c r="F146" s="1361"/>
      <c r="G146" s="1361"/>
      <c r="H146" s="1362"/>
    </row>
    <row r="147" spans="1:11">
      <c r="A147" s="455"/>
      <c r="B147" s="436"/>
      <c r="C147" s="436"/>
      <c r="D147" s="436"/>
      <c r="E147" s="436"/>
      <c r="F147" s="436"/>
      <c r="G147" s="436"/>
      <c r="H147" s="436"/>
    </row>
    <row r="148" spans="1:11" s="446" customFormat="1" ht="12.75">
      <c r="A148" s="455" t="s">
        <v>1146</v>
      </c>
      <c r="B148" s="456" t="str">
        <f>+PRESUPUESTO!$B$40</f>
        <v>CONCRETOS</v>
      </c>
      <c r="C148" s="436"/>
      <c r="E148" s="456"/>
      <c r="G148" s="456" t="s">
        <v>1123</v>
      </c>
      <c r="H148" s="483" t="s">
        <v>1152</v>
      </c>
      <c r="I148" s="436"/>
      <c r="J148" s="436"/>
    </row>
    <row r="149" spans="1:11" s="931" customFormat="1" ht="52.15" customHeight="1">
      <c r="A149" s="928" t="s">
        <v>1122</v>
      </c>
      <c r="B149" s="1374" t="str">
        <f>VLOOKUP(H148,PRESUPUESTO!$A$18:$F$251,2,FALSE)</f>
        <v>Muros para jardineras e=10 cm en concreto a la vista pulido, incluye pilote, viga y vastago</v>
      </c>
      <c r="C149" s="1374"/>
      <c r="D149" s="1374"/>
      <c r="E149" s="1374"/>
      <c r="F149" s="1374"/>
      <c r="G149" s="929" t="s">
        <v>9</v>
      </c>
      <c r="H149" s="1024" t="str">
        <f>VLOOKUP(H148,PRESUPUESTO!$A$18:$F$251,3,FALSE)</f>
        <v>m2</v>
      </c>
    </row>
    <row r="150" spans="1:11">
      <c r="A150" s="456"/>
      <c r="B150" s="456"/>
      <c r="C150" s="436"/>
      <c r="D150" s="456"/>
      <c r="E150" s="456"/>
      <c r="F150" s="456"/>
      <c r="G150" s="456"/>
      <c r="H150" s="436"/>
    </row>
    <row r="151" spans="1:11" ht="15.75" thickBot="1">
      <c r="A151" s="450" t="s">
        <v>79</v>
      </c>
      <c r="B151" s="450"/>
      <c r="C151" s="436"/>
      <c r="D151" s="436"/>
      <c r="E151" s="436"/>
      <c r="F151" s="436"/>
      <c r="G151" s="436"/>
      <c r="H151" s="436"/>
    </row>
    <row r="152" spans="1:11">
      <c r="A152" s="1345" t="s">
        <v>80</v>
      </c>
      <c r="B152" s="1346"/>
      <c r="C152" s="1347"/>
      <c r="D152" s="438" t="s">
        <v>81</v>
      </c>
      <c r="E152" s="438" t="s">
        <v>82</v>
      </c>
      <c r="F152" s="438" t="s">
        <v>83</v>
      </c>
      <c r="G152" s="439" t="s">
        <v>84</v>
      </c>
      <c r="H152" s="457"/>
    </row>
    <row r="153" spans="1:11">
      <c r="A153" s="1357" t="s">
        <v>85</v>
      </c>
      <c r="B153" s="1358"/>
      <c r="C153" s="1359"/>
      <c r="D153" s="459"/>
      <c r="E153" s="440"/>
      <c r="F153" s="440"/>
      <c r="G153" s="432">
        <f>ROUND(H178*0.05,0)</f>
        <v>2545</v>
      </c>
      <c r="H153" s="460"/>
    </row>
    <row r="154" spans="1:11">
      <c r="A154" s="1357" t="s">
        <v>532</v>
      </c>
      <c r="B154" s="1358"/>
      <c r="C154" s="1359"/>
      <c r="D154" s="461" t="s">
        <v>263</v>
      </c>
      <c r="E154" s="462">
        <f>MATERIALES!$C$9</f>
        <v>35000</v>
      </c>
      <c r="F154" s="682">
        <v>0.13</v>
      </c>
      <c r="G154" s="432">
        <f>E154*F154</f>
        <v>4550</v>
      </c>
      <c r="H154" s="460"/>
    </row>
    <row r="155" spans="1:11" ht="15.75" thickBot="1">
      <c r="A155" s="1342"/>
      <c r="B155" s="1343"/>
      <c r="C155" s="1344"/>
      <c r="D155" s="464"/>
      <c r="E155" s="433"/>
      <c r="F155" s="434"/>
      <c r="G155" s="441">
        <f>E155*F155</f>
        <v>0</v>
      </c>
      <c r="H155" s="465"/>
    </row>
    <row r="156" spans="1:11" ht="15.75" thickBot="1">
      <c r="A156" s="436"/>
      <c r="B156" s="436"/>
      <c r="C156" s="436"/>
      <c r="D156" s="436"/>
      <c r="E156" s="436"/>
      <c r="F156" s="436"/>
      <c r="G156" s="437" t="s">
        <v>86</v>
      </c>
      <c r="H156" s="466">
        <f>SUM(G153:G155)</f>
        <v>7095</v>
      </c>
    </row>
    <row r="157" spans="1:11" ht="15.75" thickBot="1">
      <c r="A157" s="450" t="s">
        <v>87</v>
      </c>
      <c r="B157" s="450"/>
      <c r="C157" s="436"/>
      <c r="D157" s="436"/>
      <c r="E157" s="436"/>
      <c r="F157" s="436"/>
      <c r="G157" s="436"/>
      <c r="H157" s="436"/>
    </row>
    <row r="158" spans="1:11">
      <c r="A158" s="1345" t="s">
        <v>80</v>
      </c>
      <c r="B158" s="1346"/>
      <c r="C158" s="1347"/>
      <c r="D158" s="438" t="s">
        <v>88</v>
      </c>
      <c r="E158" s="438" t="s">
        <v>89</v>
      </c>
      <c r="F158" s="438" t="s">
        <v>90</v>
      </c>
      <c r="G158" s="439" t="s">
        <v>84</v>
      </c>
      <c r="H158" s="457"/>
    </row>
    <row r="159" spans="1:11">
      <c r="A159" s="458" t="s">
        <v>531</v>
      </c>
      <c r="B159" s="467"/>
      <c r="C159" s="468"/>
      <c r="D159" s="459" t="s">
        <v>234</v>
      </c>
      <c r="E159" s="430">
        <f>APA!$H$176</f>
        <v>561165.64333333331</v>
      </c>
      <c r="F159" s="440">
        <v>0.1</v>
      </c>
      <c r="G159" s="432">
        <f>E159*F159</f>
        <v>56116.564333333336</v>
      </c>
      <c r="H159" s="460"/>
    </row>
    <row r="160" spans="1:11">
      <c r="A160" s="469" t="s">
        <v>775</v>
      </c>
      <c r="B160" s="467"/>
      <c r="C160" s="468"/>
      <c r="D160" s="459" t="s">
        <v>237</v>
      </c>
      <c r="E160" s="470">
        <f>260000/(1.83*2.44)</f>
        <v>58228.074890262469</v>
      </c>
      <c r="F160" s="440">
        <f>(2)/3</f>
        <v>0.66666666666666663</v>
      </c>
      <c r="G160" s="432">
        <f>F160*E160</f>
        <v>38818.71659350831</v>
      </c>
      <c r="H160" s="460"/>
      <c r="I160" s="683"/>
      <c r="K160" s="683"/>
    </row>
    <row r="161" spans="1:8">
      <c r="A161" s="469" t="s">
        <v>93</v>
      </c>
      <c r="B161" s="467"/>
      <c r="C161" s="471">
        <v>0.05</v>
      </c>
      <c r="D161" s="459"/>
      <c r="F161" s="431"/>
      <c r="G161" s="432">
        <f>SUM(G158:G160)*C161</f>
        <v>4746.7640463420821</v>
      </c>
      <c r="H161" s="460"/>
    </row>
    <row r="162" spans="1:8">
      <c r="A162" s="469"/>
      <c r="B162" s="467"/>
      <c r="C162" s="468"/>
      <c r="D162" s="459"/>
      <c r="E162" s="430"/>
      <c r="F162" s="431"/>
      <c r="G162" s="432"/>
      <c r="H162" s="460"/>
    </row>
    <row r="163" spans="1:8">
      <c r="A163" s="469"/>
      <c r="B163" s="467"/>
      <c r="C163" s="468"/>
      <c r="D163" s="459"/>
      <c r="E163" s="430"/>
      <c r="F163" s="431"/>
      <c r="G163" s="432"/>
      <c r="H163" s="460"/>
    </row>
    <row r="164" spans="1:8" ht="15.75" thickBot="1">
      <c r="A164" s="472"/>
      <c r="B164" s="473"/>
      <c r="C164" s="474"/>
      <c r="D164" s="464"/>
      <c r="E164" s="433"/>
      <c r="F164" s="434"/>
      <c r="G164" s="435"/>
      <c r="H164" s="465"/>
    </row>
    <row r="165" spans="1:8" ht="15.75" thickBot="1">
      <c r="A165" s="436"/>
      <c r="B165" s="436"/>
      <c r="C165" s="436"/>
      <c r="D165" s="436"/>
      <c r="E165" s="436"/>
      <c r="F165" s="436"/>
      <c r="G165" s="437" t="s">
        <v>86</v>
      </c>
      <c r="H165" s="466">
        <f>SUM(G159:G164)</f>
        <v>99682.044973183729</v>
      </c>
    </row>
    <row r="166" spans="1:8" ht="15.75" thickBot="1">
      <c r="A166" s="450" t="s">
        <v>94</v>
      </c>
      <c r="B166" s="450"/>
      <c r="C166" s="436"/>
      <c r="D166" s="436"/>
      <c r="E166" s="436"/>
      <c r="F166" s="436"/>
      <c r="G166" s="436"/>
      <c r="H166" s="436"/>
    </row>
    <row r="167" spans="1:8">
      <c r="A167" s="1345" t="s">
        <v>95</v>
      </c>
      <c r="B167" s="1346"/>
      <c r="C167" s="1347"/>
      <c r="D167" s="438" t="s">
        <v>88</v>
      </c>
      <c r="E167" s="438" t="s">
        <v>89</v>
      </c>
      <c r="F167" s="438" t="s">
        <v>90</v>
      </c>
      <c r="G167" s="439" t="s">
        <v>84</v>
      </c>
      <c r="H167" s="457"/>
    </row>
    <row r="168" spans="1:8">
      <c r="A168" s="458" t="s">
        <v>235</v>
      </c>
      <c r="B168" s="467"/>
      <c r="C168" s="468"/>
      <c r="D168" s="459" t="s">
        <v>237</v>
      </c>
      <c r="E168" s="430">
        <v>3000</v>
      </c>
      <c r="F168" s="440">
        <f>+F159</f>
        <v>0.1</v>
      </c>
      <c r="G168" s="432">
        <f>E168*F168</f>
        <v>300</v>
      </c>
      <c r="H168" s="460"/>
    </row>
    <row r="169" spans="1:8" ht="15.75" thickBot="1">
      <c r="A169" s="1342"/>
      <c r="B169" s="1343"/>
      <c r="C169" s="1344"/>
      <c r="D169" s="475"/>
      <c r="E169" s="433"/>
      <c r="F169" s="434"/>
      <c r="G169" s="441"/>
      <c r="H169" s="460"/>
    </row>
    <row r="170" spans="1:8" ht="15.75" thickBot="1">
      <c r="A170" s="436"/>
      <c r="B170" s="436"/>
      <c r="C170" s="436"/>
      <c r="D170" s="436"/>
      <c r="E170" s="436"/>
      <c r="F170" s="436"/>
      <c r="G170" s="437" t="s">
        <v>86</v>
      </c>
      <c r="H170" s="466">
        <f>SUM(G168:G169)</f>
        <v>300</v>
      </c>
    </row>
    <row r="171" spans="1:8" ht="15.75" thickBot="1">
      <c r="A171" s="450" t="s">
        <v>96</v>
      </c>
      <c r="B171" s="450"/>
      <c r="C171" s="436"/>
      <c r="D171" s="436"/>
      <c r="E171" s="436"/>
      <c r="F171" s="436"/>
      <c r="G171" s="436"/>
      <c r="H171" s="436"/>
    </row>
    <row r="172" spans="1:8">
      <c r="A172" s="476" t="s">
        <v>97</v>
      </c>
      <c r="B172" s="438"/>
      <c r="C172" s="438" t="s">
        <v>98</v>
      </c>
      <c r="D172" s="438" t="s">
        <v>99</v>
      </c>
      <c r="E172" s="442" t="s">
        <v>100</v>
      </c>
      <c r="F172" s="443" t="s">
        <v>83</v>
      </c>
      <c r="G172" s="444" t="s">
        <v>84</v>
      </c>
      <c r="H172" s="477"/>
    </row>
    <row r="173" spans="1:8">
      <c r="A173" s="478" t="s">
        <v>227</v>
      </c>
      <c r="B173" s="700">
        <v>3</v>
      </c>
      <c r="C173" s="479">
        <f>PERSONAL!$E$31</f>
        <v>48800</v>
      </c>
      <c r="D173" s="480">
        <f>PERSONAL!$F$31</f>
        <v>1.7431000000000001</v>
      </c>
      <c r="E173" s="440">
        <f>+D173*C173*B173</f>
        <v>255189.84</v>
      </c>
      <c r="F173" s="440">
        <v>8</v>
      </c>
      <c r="G173" s="445">
        <f>ROUND(E173/F173,0)</f>
        <v>31899</v>
      </c>
      <c r="H173" s="451"/>
    </row>
    <row r="174" spans="1:8">
      <c r="A174" s="478" t="s">
        <v>101</v>
      </c>
      <c r="B174" s="498">
        <v>1</v>
      </c>
      <c r="C174" s="479">
        <f>PERSONAL!$E$32</f>
        <v>87200</v>
      </c>
      <c r="D174" s="480">
        <f>PERSONAL!$F$31</f>
        <v>1.7431000000000001</v>
      </c>
      <c r="E174" s="440">
        <f>+D174*C174*B174</f>
        <v>151998.32</v>
      </c>
      <c r="F174" s="440">
        <v>8</v>
      </c>
      <c r="G174" s="445">
        <f>ROUND(E174/F174,0)</f>
        <v>19000</v>
      </c>
      <c r="H174" s="451"/>
    </row>
    <row r="175" spans="1:8">
      <c r="A175" s="478"/>
      <c r="B175" s="468"/>
      <c r="C175" s="430"/>
      <c r="D175" s="459"/>
      <c r="E175" s="430"/>
      <c r="F175" s="440"/>
      <c r="G175" s="445"/>
      <c r="H175" s="451"/>
    </row>
    <row r="176" spans="1:8">
      <c r="A176" s="478"/>
      <c r="B176" s="468"/>
      <c r="C176" s="430"/>
      <c r="D176" s="459"/>
      <c r="E176" s="430"/>
      <c r="F176" s="440"/>
      <c r="G176" s="445"/>
      <c r="H176" s="451"/>
    </row>
    <row r="177" spans="1:8" ht="15.75" thickBot="1">
      <c r="A177" s="481"/>
      <c r="B177" s="474"/>
      <c r="C177" s="474"/>
      <c r="D177" s="474"/>
      <c r="E177" s="474"/>
      <c r="F177" s="474"/>
      <c r="G177" s="482"/>
      <c r="H177" s="482"/>
    </row>
    <row r="178" spans="1:8" ht="15.75" thickBot="1">
      <c r="A178" s="436"/>
      <c r="B178" s="436"/>
      <c r="C178" s="436"/>
      <c r="D178" s="436"/>
      <c r="E178" s="436"/>
      <c r="F178" s="436"/>
      <c r="G178" s="437" t="s">
        <v>86</v>
      </c>
      <c r="H178" s="466">
        <f>SUM(G173:G177)</f>
        <v>50899</v>
      </c>
    </row>
    <row r="179" spans="1:8" ht="15.75" thickBot="1">
      <c r="A179" s="436"/>
      <c r="B179" s="436"/>
      <c r="C179" s="436"/>
      <c r="D179" s="436"/>
      <c r="E179" s="436"/>
      <c r="F179" s="436"/>
      <c r="G179" s="483"/>
      <c r="H179" s="436"/>
    </row>
    <row r="180" spans="1:8" ht="15.75" thickBot="1">
      <c r="A180" s="436"/>
      <c r="B180" s="436"/>
      <c r="C180" s="436"/>
      <c r="D180" s="436"/>
      <c r="E180" s="484" t="s">
        <v>102</v>
      </c>
      <c r="F180" s="485"/>
      <c r="G180" s="485"/>
      <c r="H180" s="466">
        <f>H156+H165+H170+H178</f>
        <v>157976.04497318371</v>
      </c>
    </row>
    <row r="181" spans="1:8" ht="15.75" thickBot="1">
      <c r="A181" s="450" t="s">
        <v>103</v>
      </c>
      <c r="B181" s="450"/>
      <c r="C181" s="436"/>
      <c r="D181" s="436"/>
      <c r="E181" s="436"/>
      <c r="F181" s="436"/>
      <c r="G181" s="436"/>
      <c r="H181" s="436"/>
    </row>
    <row r="182" spans="1:8">
      <c r="A182" s="487" t="s">
        <v>80</v>
      </c>
      <c r="B182" s="488"/>
      <c r="C182" s="488"/>
      <c r="D182" s="488"/>
      <c r="E182" s="489"/>
      <c r="F182" s="490" t="s">
        <v>104</v>
      </c>
      <c r="G182" s="491" t="s">
        <v>105</v>
      </c>
      <c r="H182" s="457"/>
    </row>
    <row r="183" spans="1:8">
      <c r="A183" s="469" t="s">
        <v>106</v>
      </c>
      <c r="B183" s="467"/>
      <c r="C183" s="467"/>
      <c r="D183" s="467"/>
      <c r="E183" s="468"/>
      <c r="F183" s="492">
        <f>PRESUPUESTO!$E$222</f>
        <v>0.109</v>
      </c>
      <c r="G183" s="493">
        <f>+F183*H180</f>
        <v>17219.388902077026</v>
      </c>
      <c r="H183" s="460"/>
    </row>
    <row r="184" spans="1:8" ht="15.75" thickBot="1">
      <c r="A184" s="472" t="s">
        <v>108</v>
      </c>
      <c r="B184" s="473"/>
      <c r="C184" s="473"/>
      <c r="D184" s="473"/>
      <c r="E184" s="474"/>
      <c r="F184" s="494">
        <f>PRESUPUESTO!$E$223</f>
        <v>0.05</v>
      </c>
      <c r="G184" s="495">
        <f>+F184*H180</f>
        <v>7898.8022486591863</v>
      </c>
      <c r="H184" s="465"/>
    </row>
    <row r="185" spans="1:8" ht="15.75" thickBot="1">
      <c r="A185" s="436"/>
      <c r="B185" s="436"/>
      <c r="C185" s="436"/>
      <c r="D185" s="436"/>
      <c r="E185" s="436"/>
      <c r="F185" s="436"/>
      <c r="G185" s="437" t="s">
        <v>86</v>
      </c>
      <c r="H185" s="496">
        <f>SUM(G183:G184)</f>
        <v>25118.191150736213</v>
      </c>
    </row>
    <row r="186" spans="1:8" ht="15.75" thickBot="1">
      <c r="A186" s="436"/>
      <c r="B186" s="436"/>
      <c r="C186" s="436"/>
      <c r="D186" s="436"/>
      <c r="E186" s="436"/>
      <c r="F186" s="436"/>
      <c r="G186" s="436"/>
      <c r="H186" s="436"/>
    </row>
    <row r="187" spans="1:8" ht="15.75" thickBot="1">
      <c r="A187" s="446"/>
      <c r="B187" s="446"/>
      <c r="C187" s="436"/>
      <c r="D187" s="484" t="s">
        <v>109</v>
      </c>
      <c r="E187" s="485"/>
      <c r="F187" s="485"/>
      <c r="G187" s="485"/>
      <c r="H187" s="466">
        <f>ROUND((H180+H185),0)</f>
        <v>183094</v>
      </c>
    </row>
    <row r="188" spans="1:8">
      <c r="A188" s="446"/>
      <c r="B188" s="446"/>
      <c r="C188" s="446"/>
      <c r="D188" s="446"/>
      <c r="E188" s="446"/>
      <c r="F188" s="446"/>
      <c r="G188" s="446"/>
      <c r="H188" s="446"/>
    </row>
    <row r="189" spans="1:8">
      <c r="A189" s="186" t="s">
        <v>77</v>
      </c>
      <c r="B189" s="446"/>
      <c r="C189" s="446"/>
      <c r="D189" s="446"/>
      <c r="E189" s="446"/>
      <c r="F189" s="446"/>
      <c r="G189" s="446"/>
      <c r="H189" s="446"/>
    </row>
    <row r="190" spans="1:8" ht="15.75" thickBot="1">
      <c r="A190" s="446"/>
      <c r="B190" s="446"/>
      <c r="C190" s="446"/>
      <c r="D190" s="446"/>
      <c r="E190" s="446"/>
      <c r="F190" s="446"/>
      <c r="G190" s="446"/>
      <c r="H190" s="446"/>
    </row>
    <row r="191" spans="1:8">
      <c r="A191" s="1348" t="s">
        <v>213</v>
      </c>
      <c r="B191" s="1349"/>
      <c r="C191" s="1350"/>
      <c r="D191" s="448"/>
      <c r="E191" s="448"/>
      <c r="F191" s="448"/>
      <c r="G191" s="448"/>
      <c r="H191" s="449"/>
    </row>
    <row r="192" spans="1:8">
      <c r="A192" s="1351"/>
      <c r="B192" s="1352"/>
      <c r="C192" s="1353"/>
      <c r="D192" s="436"/>
      <c r="E192" s="450" t="s">
        <v>78</v>
      </c>
      <c r="F192" s="436"/>
      <c r="G192" s="436"/>
      <c r="H192" s="451"/>
    </row>
    <row r="193" spans="1:10" ht="15.75" thickBot="1">
      <c r="A193" s="1354"/>
      <c r="B193" s="1355"/>
      <c r="C193" s="1356"/>
      <c r="D193" s="1360"/>
      <c r="E193" s="1361"/>
      <c r="F193" s="1361"/>
      <c r="G193" s="1361"/>
      <c r="H193" s="1362"/>
    </row>
    <row r="194" spans="1:10">
      <c r="A194" s="455"/>
      <c r="B194" s="436"/>
      <c r="C194" s="436"/>
      <c r="D194" s="436"/>
      <c r="E194" s="436"/>
      <c r="F194" s="436"/>
      <c r="G194" s="436"/>
      <c r="H194" s="436"/>
    </row>
    <row r="195" spans="1:10" s="446" customFormat="1" ht="12.75">
      <c r="A195" s="455" t="s">
        <v>1146</v>
      </c>
      <c r="B195" s="456" t="str">
        <f>+PRESUPUESTO!$B$40</f>
        <v>CONCRETOS</v>
      </c>
      <c r="C195" s="436"/>
      <c r="E195" s="456"/>
      <c r="G195" s="456" t="s">
        <v>1123</v>
      </c>
      <c r="H195" s="483" t="s">
        <v>1153</v>
      </c>
      <c r="I195" s="436"/>
      <c r="J195" s="436"/>
    </row>
    <row r="196" spans="1:10" s="931" customFormat="1" ht="52.15" customHeight="1">
      <c r="A196" s="928" t="s">
        <v>1122</v>
      </c>
      <c r="B196" s="1374" t="str">
        <f>VLOOKUP(H195,PRESUPUESTO!$A$18:$F$251,2,FALSE)</f>
        <v>Elementos de soporte en concreto para bancas jardineras.</v>
      </c>
      <c r="C196" s="1374"/>
      <c r="D196" s="1374"/>
      <c r="E196" s="1374"/>
      <c r="F196" s="1374"/>
      <c r="G196" s="929" t="s">
        <v>9</v>
      </c>
      <c r="H196" s="1024" t="str">
        <f>VLOOKUP(H195,PRESUPUESTO!$A$18:$F$251,3,FALSE)</f>
        <v>m2</v>
      </c>
    </row>
    <row r="197" spans="1:10">
      <c r="A197" s="456"/>
      <c r="B197" s="456"/>
      <c r="C197" s="436"/>
      <c r="D197" s="456"/>
      <c r="E197" s="456"/>
      <c r="F197" s="456"/>
      <c r="G197" s="456"/>
      <c r="H197" s="436"/>
    </row>
    <row r="198" spans="1:10" ht="15.75" thickBot="1">
      <c r="A198" s="450" t="s">
        <v>79</v>
      </c>
      <c r="B198" s="450"/>
      <c r="C198" s="436"/>
      <c r="D198" s="436"/>
      <c r="E198" s="436"/>
      <c r="F198" s="436"/>
      <c r="G198" s="436"/>
      <c r="H198" s="436"/>
    </row>
    <row r="199" spans="1:10">
      <c r="A199" s="1345" t="s">
        <v>80</v>
      </c>
      <c r="B199" s="1346"/>
      <c r="C199" s="1347"/>
      <c r="D199" s="438" t="s">
        <v>81</v>
      </c>
      <c r="E199" s="438" t="s">
        <v>82</v>
      </c>
      <c r="F199" s="438" t="s">
        <v>83</v>
      </c>
      <c r="G199" s="439" t="s">
        <v>84</v>
      </c>
      <c r="H199" s="457"/>
    </row>
    <row r="200" spans="1:10">
      <c r="A200" s="1357" t="s">
        <v>85</v>
      </c>
      <c r="B200" s="1358"/>
      <c r="C200" s="1359"/>
      <c r="D200" s="459"/>
      <c r="E200" s="440"/>
      <c r="F200" s="440"/>
      <c r="G200" s="432">
        <f>ROUND(H225*0.05,0)</f>
        <v>3516</v>
      </c>
      <c r="H200" s="460"/>
    </row>
    <row r="201" spans="1:10">
      <c r="A201" s="1357" t="s">
        <v>532</v>
      </c>
      <c r="B201" s="1358"/>
      <c r="C201" s="1359"/>
      <c r="D201" s="461" t="s">
        <v>263</v>
      </c>
      <c r="E201" s="462">
        <f>MATERIALES!$C$9</f>
        <v>35000</v>
      </c>
      <c r="F201" s="497">
        <v>0.5</v>
      </c>
      <c r="G201" s="432">
        <f>E201*F201</f>
        <v>17500</v>
      </c>
      <c r="H201" s="460"/>
    </row>
    <row r="202" spans="1:10" ht="15.75" thickBot="1">
      <c r="A202" s="1342"/>
      <c r="B202" s="1343"/>
      <c r="C202" s="1344"/>
      <c r="D202" s="464"/>
      <c r="E202" s="433"/>
      <c r="F202" s="434"/>
      <c r="G202" s="441">
        <f>E202*F202</f>
        <v>0</v>
      </c>
      <c r="H202" s="465"/>
    </row>
    <row r="203" spans="1:10" ht="15.75" thickBot="1">
      <c r="A203" s="436"/>
      <c r="B203" s="436"/>
      <c r="C203" s="436"/>
      <c r="D203" s="436"/>
      <c r="E203" s="436"/>
      <c r="F203" s="436"/>
      <c r="G203" s="437" t="s">
        <v>86</v>
      </c>
      <c r="H203" s="466">
        <f>SUM(G200:G202)</f>
        <v>21016</v>
      </c>
    </row>
    <row r="204" spans="1:10" ht="15.75" thickBot="1">
      <c r="A204" s="450" t="s">
        <v>87</v>
      </c>
      <c r="B204" s="450"/>
      <c r="C204" s="436"/>
      <c r="D204" s="436"/>
      <c r="E204" s="436"/>
      <c r="F204" s="436"/>
      <c r="G204" s="436"/>
      <c r="H204" s="436"/>
    </row>
    <row r="205" spans="1:10">
      <c r="A205" s="1345" t="s">
        <v>80</v>
      </c>
      <c r="B205" s="1346"/>
      <c r="C205" s="1347"/>
      <c r="D205" s="438" t="s">
        <v>88</v>
      </c>
      <c r="E205" s="438" t="s">
        <v>89</v>
      </c>
      <c r="F205" s="438" t="s">
        <v>90</v>
      </c>
      <c r="G205" s="439" t="s">
        <v>84</v>
      </c>
      <c r="H205" s="457"/>
    </row>
    <row r="206" spans="1:10">
      <c r="A206" s="458" t="s">
        <v>531</v>
      </c>
      <c r="B206" s="467"/>
      <c r="C206" s="468"/>
      <c r="D206" s="459" t="s">
        <v>234</v>
      </c>
      <c r="E206" s="430">
        <f>APA!$H$176</f>
        <v>561165.64333333331</v>
      </c>
      <c r="F206" s="440">
        <v>0.1</v>
      </c>
      <c r="G206" s="432">
        <f>E206*F206</f>
        <v>56116.564333333336</v>
      </c>
      <c r="H206" s="460"/>
    </row>
    <row r="207" spans="1:10">
      <c r="A207" s="469" t="s">
        <v>535</v>
      </c>
      <c r="B207" s="467"/>
      <c r="C207" s="468"/>
      <c r="D207" s="459" t="s">
        <v>237</v>
      </c>
      <c r="E207" s="470">
        <v>20000</v>
      </c>
      <c r="F207" s="440">
        <v>1</v>
      </c>
      <c r="G207" s="432">
        <f>F207*E207</f>
        <v>20000</v>
      </c>
      <c r="H207" s="460"/>
    </row>
    <row r="208" spans="1:10">
      <c r="A208" s="469" t="s">
        <v>93</v>
      </c>
      <c r="B208" s="467"/>
      <c r="C208" s="471">
        <v>0.05</v>
      </c>
      <c r="D208" s="459"/>
      <c r="F208" s="431"/>
      <c r="G208" s="432">
        <f>SUM(G205:G207)*C208</f>
        <v>3805.8282166666672</v>
      </c>
      <c r="H208" s="460"/>
    </row>
    <row r="209" spans="1:8">
      <c r="A209" s="469"/>
      <c r="B209" s="467"/>
      <c r="C209" s="468"/>
      <c r="D209" s="459"/>
      <c r="E209" s="430"/>
      <c r="F209" s="431"/>
      <c r="G209" s="432"/>
      <c r="H209" s="460"/>
    </row>
    <row r="210" spans="1:8">
      <c r="A210" s="469"/>
      <c r="B210" s="467"/>
      <c r="C210" s="468"/>
      <c r="D210" s="459"/>
      <c r="E210" s="430"/>
      <c r="F210" s="431"/>
      <c r="G210" s="432"/>
      <c r="H210" s="460"/>
    </row>
    <row r="211" spans="1:8" ht="15.75" thickBot="1">
      <c r="A211" s="472"/>
      <c r="B211" s="473"/>
      <c r="C211" s="474"/>
      <c r="D211" s="464"/>
      <c r="E211" s="433"/>
      <c r="F211" s="434"/>
      <c r="G211" s="435"/>
      <c r="H211" s="465"/>
    </row>
    <row r="212" spans="1:8" ht="15.75" thickBot="1">
      <c r="A212" s="436"/>
      <c r="B212" s="436"/>
      <c r="C212" s="436"/>
      <c r="D212" s="436"/>
      <c r="E212" s="436"/>
      <c r="F212" s="436"/>
      <c r="G212" s="437" t="s">
        <v>86</v>
      </c>
      <c r="H212" s="466">
        <f>SUM(G206:G211)</f>
        <v>79922.392550000004</v>
      </c>
    </row>
    <row r="213" spans="1:8" ht="15.75" thickBot="1">
      <c r="A213" s="450" t="s">
        <v>94</v>
      </c>
      <c r="B213" s="450"/>
      <c r="C213" s="436"/>
      <c r="D213" s="436"/>
      <c r="E213" s="436"/>
      <c r="F213" s="436"/>
      <c r="G213" s="436"/>
      <c r="H213" s="436"/>
    </row>
    <row r="214" spans="1:8">
      <c r="A214" s="1345" t="s">
        <v>95</v>
      </c>
      <c r="B214" s="1346"/>
      <c r="C214" s="1347"/>
      <c r="D214" s="438" t="s">
        <v>88</v>
      </c>
      <c r="E214" s="438" t="s">
        <v>89</v>
      </c>
      <c r="F214" s="438" t="s">
        <v>90</v>
      </c>
      <c r="G214" s="439" t="s">
        <v>84</v>
      </c>
      <c r="H214" s="457"/>
    </row>
    <row r="215" spans="1:8">
      <c r="A215" s="458" t="s">
        <v>235</v>
      </c>
      <c r="B215" s="467"/>
      <c r="C215" s="468"/>
      <c r="D215" s="459" t="s">
        <v>237</v>
      </c>
      <c r="E215" s="430">
        <v>13000</v>
      </c>
      <c r="F215" s="440">
        <v>1</v>
      </c>
      <c r="G215" s="432">
        <f>E215*F215</f>
        <v>13000</v>
      </c>
      <c r="H215" s="460"/>
    </row>
    <row r="216" spans="1:8" ht="15.75" thickBot="1">
      <c r="A216" s="1342"/>
      <c r="B216" s="1343"/>
      <c r="C216" s="1344"/>
      <c r="D216" s="475"/>
      <c r="E216" s="433"/>
      <c r="F216" s="434"/>
      <c r="G216" s="441"/>
      <c r="H216" s="460"/>
    </row>
    <row r="217" spans="1:8" ht="15.75" thickBot="1">
      <c r="A217" s="436"/>
      <c r="B217" s="436"/>
      <c r="C217" s="436"/>
      <c r="D217" s="436"/>
      <c r="E217" s="436"/>
      <c r="F217" s="436"/>
      <c r="G217" s="437" t="s">
        <v>86</v>
      </c>
      <c r="H217" s="466">
        <f>SUM(G215:G216)</f>
        <v>13000</v>
      </c>
    </row>
    <row r="218" spans="1:8" ht="15.75" thickBot="1">
      <c r="A218" s="450" t="s">
        <v>96</v>
      </c>
      <c r="B218" s="450"/>
      <c r="C218" s="436"/>
      <c r="D218" s="436"/>
      <c r="E218" s="436"/>
      <c r="F218" s="436"/>
      <c r="G218" s="436"/>
      <c r="H218" s="436"/>
    </row>
    <row r="219" spans="1:8">
      <c r="A219" s="476" t="s">
        <v>97</v>
      </c>
      <c r="B219" s="438"/>
      <c r="C219" s="438" t="s">
        <v>98</v>
      </c>
      <c r="D219" s="438" t="s">
        <v>99</v>
      </c>
      <c r="E219" s="442" t="s">
        <v>100</v>
      </c>
      <c r="F219" s="443" t="s">
        <v>83</v>
      </c>
      <c r="G219" s="444" t="s">
        <v>84</v>
      </c>
      <c r="H219" s="477"/>
    </row>
    <row r="220" spans="1:8">
      <c r="A220" s="478" t="s">
        <v>227</v>
      </c>
      <c r="B220" s="542">
        <v>4</v>
      </c>
      <c r="C220" s="479">
        <f>PERSONAL!$E$31</f>
        <v>48800</v>
      </c>
      <c r="D220" s="480">
        <f>PERSONAL!$F$31</f>
        <v>1.7431000000000001</v>
      </c>
      <c r="E220" s="440">
        <f>+D220*C220*B220</f>
        <v>340253.12</v>
      </c>
      <c r="F220" s="440">
        <v>7</v>
      </c>
      <c r="G220" s="445">
        <f>ROUND(E220/F220,0)</f>
        <v>48608</v>
      </c>
      <c r="H220" s="451"/>
    </row>
    <row r="221" spans="1:8">
      <c r="A221" s="478" t="s">
        <v>101</v>
      </c>
      <c r="B221" s="498">
        <v>1</v>
      </c>
      <c r="C221" s="479">
        <f>PERSONAL!$E$32</f>
        <v>87200</v>
      </c>
      <c r="D221" s="480">
        <f>PERSONAL!$F$31</f>
        <v>1.7431000000000001</v>
      </c>
      <c r="E221" s="440">
        <f>+D221*C221*B221</f>
        <v>151998.32</v>
      </c>
      <c r="F221" s="440">
        <v>7</v>
      </c>
      <c r="G221" s="445">
        <f>ROUND(E221/F221,0)</f>
        <v>21714</v>
      </c>
      <c r="H221" s="451"/>
    </row>
    <row r="222" spans="1:8">
      <c r="A222" s="478"/>
      <c r="B222" s="468"/>
      <c r="C222" s="430"/>
      <c r="D222" s="459"/>
      <c r="E222" s="430"/>
      <c r="F222" s="440"/>
      <c r="G222" s="445"/>
      <c r="H222" s="451"/>
    </row>
    <row r="223" spans="1:8">
      <c r="A223" s="478"/>
      <c r="B223" s="468"/>
      <c r="C223" s="430"/>
      <c r="D223" s="459"/>
      <c r="E223" s="430"/>
      <c r="F223" s="440"/>
      <c r="G223" s="445"/>
      <c r="H223" s="451"/>
    </row>
    <row r="224" spans="1:8" ht="15.75" thickBot="1">
      <c r="A224" s="481"/>
      <c r="B224" s="474"/>
      <c r="C224" s="474"/>
      <c r="D224" s="474"/>
      <c r="E224" s="474"/>
      <c r="F224" s="474"/>
      <c r="G224" s="482"/>
      <c r="H224" s="482"/>
    </row>
    <row r="225" spans="1:8" ht="15.75" thickBot="1">
      <c r="A225" s="436"/>
      <c r="B225" s="436"/>
      <c r="C225" s="436"/>
      <c r="D225" s="436"/>
      <c r="E225" s="436"/>
      <c r="F225" s="436"/>
      <c r="G225" s="437" t="s">
        <v>86</v>
      </c>
      <c r="H225" s="466">
        <f>SUM(G220:G224)</f>
        <v>70322</v>
      </c>
    </row>
    <row r="226" spans="1:8" ht="15.75" thickBot="1">
      <c r="A226" s="436"/>
      <c r="B226" s="436"/>
      <c r="C226" s="436"/>
      <c r="D226" s="436"/>
      <c r="E226" s="436"/>
      <c r="F226" s="436"/>
      <c r="G226" s="483"/>
      <c r="H226" s="436"/>
    </row>
    <row r="227" spans="1:8" ht="15.75" thickBot="1">
      <c r="A227" s="436"/>
      <c r="B227" s="436"/>
      <c r="C227" s="436"/>
      <c r="D227" s="436"/>
      <c r="E227" s="484" t="s">
        <v>102</v>
      </c>
      <c r="F227" s="485"/>
      <c r="G227" s="485"/>
      <c r="H227" s="466">
        <f>H203+H212+H217+H225</f>
        <v>184260.39254999999</v>
      </c>
    </row>
    <row r="228" spans="1:8" ht="15.75" thickBot="1">
      <c r="A228" s="450" t="s">
        <v>103</v>
      </c>
      <c r="B228" s="450"/>
      <c r="C228" s="436"/>
      <c r="D228" s="436"/>
      <c r="E228" s="436"/>
      <c r="F228" s="436"/>
      <c r="G228" s="436"/>
      <c r="H228" s="436"/>
    </row>
    <row r="229" spans="1:8">
      <c r="A229" s="487" t="s">
        <v>80</v>
      </c>
      <c r="B229" s="488"/>
      <c r="C229" s="488"/>
      <c r="D229" s="488"/>
      <c r="E229" s="489"/>
      <c r="F229" s="490" t="s">
        <v>104</v>
      </c>
      <c r="G229" s="491" t="s">
        <v>105</v>
      </c>
      <c r="H229" s="457"/>
    </row>
    <row r="230" spans="1:8">
      <c r="A230" s="469" t="s">
        <v>106</v>
      </c>
      <c r="B230" s="467"/>
      <c r="C230" s="467"/>
      <c r="D230" s="467"/>
      <c r="E230" s="468"/>
      <c r="F230" s="492">
        <f>PRESUPUESTO!$E$222</f>
        <v>0.109</v>
      </c>
      <c r="G230" s="493">
        <f>+F230*H227</f>
        <v>20084.382787949999</v>
      </c>
      <c r="H230" s="460"/>
    </row>
    <row r="231" spans="1:8" ht="15.75" thickBot="1">
      <c r="A231" s="472" t="s">
        <v>108</v>
      </c>
      <c r="B231" s="473"/>
      <c r="C231" s="473"/>
      <c r="D231" s="473"/>
      <c r="E231" s="474"/>
      <c r="F231" s="494">
        <f>PRESUPUESTO!$E$223</f>
        <v>0.05</v>
      </c>
      <c r="G231" s="495">
        <f>+F231*H227</f>
        <v>9213.0196274999998</v>
      </c>
      <c r="H231" s="465"/>
    </row>
    <row r="232" spans="1:8" ht="15.75" thickBot="1">
      <c r="A232" s="436"/>
      <c r="B232" s="436"/>
      <c r="C232" s="436"/>
      <c r="D232" s="436"/>
      <c r="E232" s="436"/>
      <c r="F232" s="436"/>
      <c r="G232" s="437" t="s">
        <v>86</v>
      </c>
      <c r="H232" s="496">
        <f>SUM(G230:G231)</f>
        <v>29297.40241545</v>
      </c>
    </row>
    <row r="233" spans="1:8" ht="15.75" thickBot="1">
      <c r="A233" s="436"/>
      <c r="B233" s="436"/>
      <c r="C233" s="436"/>
      <c r="D233" s="436"/>
      <c r="E233" s="436"/>
      <c r="F233" s="436"/>
      <c r="G233" s="436"/>
      <c r="H233" s="436"/>
    </row>
    <row r="234" spans="1:8" ht="15.75" thickBot="1">
      <c r="A234" s="446"/>
      <c r="B234" s="446"/>
      <c r="C234" s="436"/>
      <c r="D234" s="484" t="s">
        <v>109</v>
      </c>
      <c r="E234" s="485"/>
      <c r="F234" s="485"/>
      <c r="G234" s="485"/>
      <c r="H234" s="466">
        <f>ROUND((H227+H232),0)</f>
        <v>213558</v>
      </c>
    </row>
    <row r="235" spans="1:8">
      <c r="A235" s="446"/>
      <c r="B235" s="446"/>
      <c r="C235" s="446"/>
      <c r="D235" s="446"/>
      <c r="E235" s="446"/>
      <c r="F235" s="446"/>
      <c r="G235" s="446"/>
      <c r="H235" s="446"/>
    </row>
    <row r="236" spans="1:8">
      <c r="A236" s="186" t="s">
        <v>77</v>
      </c>
      <c r="B236" s="446"/>
      <c r="C236" s="446"/>
      <c r="D236" s="446"/>
      <c r="E236" s="446"/>
      <c r="F236" s="446"/>
      <c r="G236" s="446"/>
      <c r="H236" s="446"/>
    </row>
    <row r="237" spans="1:8" ht="15.75" thickBot="1">
      <c r="A237" s="446"/>
      <c r="B237" s="446"/>
      <c r="C237" s="446"/>
      <c r="D237" s="446"/>
      <c r="E237" s="446"/>
      <c r="F237" s="446"/>
      <c r="G237" s="446"/>
      <c r="H237" s="446"/>
    </row>
    <row r="238" spans="1:8">
      <c r="A238" s="1348" t="s">
        <v>213</v>
      </c>
      <c r="B238" s="1349"/>
      <c r="C238" s="1350"/>
      <c r="D238" s="448"/>
      <c r="E238" s="448"/>
      <c r="F238" s="448"/>
      <c r="G238" s="448"/>
      <c r="H238" s="449"/>
    </row>
    <row r="239" spans="1:8">
      <c r="A239" s="1351"/>
      <c r="B239" s="1352"/>
      <c r="C239" s="1353"/>
      <c r="D239" s="436"/>
      <c r="E239" s="450" t="s">
        <v>78</v>
      </c>
      <c r="F239" s="436"/>
      <c r="G239" s="436"/>
      <c r="H239" s="451"/>
    </row>
    <row r="240" spans="1:8" ht="15.75" thickBot="1">
      <c r="A240" s="1354"/>
      <c r="B240" s="1355"/>
      <c r="C240" s="1356"/>
      <c r="D240" s="1360"/>
      <c r="E240" s="1361"/>
      <c r="F240" s="1361"/>
      <c r="G240" s="1361"/>
      <c r="H240" s="1362"/>
    </row>
    <row r="241" spans="1:10">
      <c r="A241" s="455"/>
      <c r="B241" s="436"/>
      <c r="C241" s="436"/>
      <c r="D241" s="436"/>
      <c r="E241" s="436"/>
      <c r="F241" s="436"/>
      <c r="G241" s="436"/>
      <c r="H241" s="436"/>
    </row>
    <row r="242" spans="1:10" s="446" customFormat="1" ht="12.75">
      <c r="A242" s="455" t="s">
        <v>1146</v>
      </c>
      <c r="B242" s="456" t="str">
        <f>+PRESUPUESTO!$B$40</f>
        <v>CONCRETOS</v>
      </c>
      <c r="C242" s="436"/>
      <c r="E242" s="456"/>
      <c r="G242" s="456" t="s">
        <v>1123</v>
      </c>
      <c r="H242" s="483" t="s">
        <v>1154</v>
      </c>
      <c r="I242" s="436"/>
      <c r="J242" s="436"/>
    </row>
    <row r="243" spans="1:10" s="931" customFormat="1" ht="52.15" customHeight="1">
      <c r="A243" s="928" t="s">
        <v>1122</v>
      </c>
      <c r="B243" s="1374" t="str">
        <f>VLOOKUP(H242,PRESUPUESTO!$A$18:$F$251,2,FALSE)</f>
        <v>Jardineras tipo banca en concreto e=10 cm.</v>
      </c>
      <c r="C243" s="1374"/>
      <c r="D243" s="1374"/>
      <c r="E243" s="1374"/>
      <c r="F243" s="1374"/>
      <c r="G243" s="929" t="s">
        <v>9</v>
      </c>
      <c r="H243" s="1024" t="str">
        <f>VLOOKUP(H242,PRESUPUESTO!$A$18:$F$251,3,FALSE)</f>
        <v>ml</v>
      </c>
    </row>
    <row r="244" spans="1:10">
      <c r="A244" s="456"/>
      <c r="B244" s="456"/>
      <c r="C244" s="436"/>
      <c r="D244" s="456"/>
      <c r="E244" s="456"/>
      <c r="F244" s="456"/>
      <c r="G244" s="456"/>
      <c r="H244" s="436"/>
    </row>
    <row r="245" spans="1:10" ht="15.75" thickBot="1">
      <c r="A245" s="450" t="s">
        <v>79</v>
      </c>
      <c r="B245" s="450"/>
      <c r="C245" s="436"/>
      <c r="D245" s="436"/>
      <c r="E245" s="436"/>
      <c r="F245" s="436"/>
      <c r="G245" s="436"/>
      <c r="H245" s="436"/>
    </row>
    <row r="246" spans="1:10">
      <c r="A246" s="1345" t="s">
        <v>80</v>
      </c>
      <c r="B246" s="1346"/>
      <c r="C246" s="1347"/>
      <c r="D246" s="438" t="s">
        <v>81</v>
      </c>
      <c r="E246" s="438" t="s">
        <v>82</v>
      </c>
      <c r="F246" s="438" t="s">
        <v>83</v>
      </c>
      <c r="G246" s="439" t="s">
        <v>84</v>
      </c>
      <c r="H246" s="457"/>
    </row>
    <row r="247" spans="1:10">
      <c r="A247" s="1357" t="s">
        <v>85</v>
      </c>
      <c r="B247" s="1358"/>
      <c r="C247" s="1359"/>
      <c r="D247" s="459"/>
      <c r="E247" s="440"/>
      <c r="F247" s="440"/>
      <c r="G247" s="432">
        <f>ROUND(H274*0.05,0)</f>
        <v>3579</v>
      </c>
      <c r="H247" s="460"/>
    </row>
    <row r="248" spans="1:10">
      <c r="A248" s="1357" t="s">
        <v>532</v>
      </c>
      <c r="B248" s="1358"/>
      <c r="C248" s="1359"/>
      <c r="D248" s="461" t="s">
        <v>263</v>
      </c>
      <c r="E248" s="462">
        <f>MATERIALES!$C$9</f>
        <v>35000</v>
      </c>
      <c r="F248" s="497">
        <f>1/(F269*2)</f>
        <v>0.1111111111111111</v>
      </c>
      <c r="G248" s="432">
        <f>E248*F248</f>
        <v>3888.8888888888887</v>
      </c>
      <c r="H248" s="460"/>
    </row>
    <row r="249" spans="1:10" ht="15.75" thickBot="1">
      <c r="A249" s="1342"/>
      <c r="B249" s="1343"/>
      <c r="C249" s="1344"/>
      <c r="D249" s="464"/>
      <c r="E249" s="433"/>
      <c r="F249" s="434"/>
      <c r="G249" s="441">
        <f>E249*F249</f>
        <v>0</v>
      </c>
      <c r="H249" s="465"/>
    </row>
    <row r="250" spans="1:10" ht="15.75" thickBot="1">
      <c r="A250" s="436"/>
      <c r="B250" s="436"/>
      <c r="C250" s="436"/>
      <c r="D250" s="436"/>
      <c r="E250" s="436"/>
      <c r="F250" s="436"/>
      <c r="G250" s="437" t="s">
        <v>86</v>
      </c>
      <c r="H250" s="466">
        <f>SUM(G247:G249)</f>
        <v>7467.8888888888887</v>
      </c>
    </row>
    <row r="251" spans="1:10" ht="15.75" thickBot="1">
      <c r="A251" s="450" t="s">
        <v>87</v>
      </c>
      <c r="B251" s="450"/>
      <c r="C251" s="436"/>
      <c r="D251" s="436"/>
      <c r="E251" s="436"/>
      <c r="F251" s="436"/>
      <c r="G251" s="436"/>
      <c r="H251" s="436"/>
    </row>
    <row r="252" spans="1:10">
      <c r="A252" s="1345" t="s">
        <v>80</v>
      </c>
      <c r="B252" s="1346"/>
      <c r="C252" s="1347"/>
      <c r="D252" s="438" t="s">
        <v>88</v>
      </c>
      <c r="E252" s="438" t="s">
        <v>89</v>
      </c>
      <c r="F252" s="438" t="s">
        <v>90</v>
      </c>
      <c r="G252" s="439" t="s">
        <v>84</v>
      </c>
      <c r="H252" s="457"/>
    </row>
    <row r="253" spans="1:10">
      <c r="A253" s="458" t="s">
        <v>531</v>
      </c>
      <c r="B253" s="467"/>
      <c r="C253" s="468"/>
      <c r="D253" s="459" t="s">
        <v>534</v>
      </c>
      <c r="E253" s="430">
        <f>APA!$H$176</f>
        <v>561165.64333333331</v>
      </c>
      <c r="F253" s="440">
        <f>1.42*0.1</f>
        <v>0.14199999999999999</v>
      </c>
      <c r="G253" s="432">
        <f>E253*F253</f>
        <v>79685.52135333333</v>
      </c>
      <c r="H253" s="460"/>
    </row>
    <row r="254" spans="1:10">
      <c r="A254" s="469" t="s">
        <v>535</v>
      </c>
      <c r="B254" s="467"/>
      <c r="C254" s="468"/>
      <c r="D254" s="459" t="s">
        <v>173</v>
      </c>
      <c r="E254" s="470">
        <v>260000</v>
      </c>
      <c r="F254" s="686">
        <f>((1/(1.84*2.44))*(0.52))/5+(1/(1.84*2.44))*(0.42+0.4+0.3)</f>
        <v>0.27263007840342124</v>
      </c>
      <c r="G254" s="432">
        <f>F254*E254</f>
        <v>70883.820384889521</v>
      </c>
      <c r="H254" s="460"/>
      <c r="I254" s="545"/>
    </row>
    <row r="255" spans="1:10">
      <c r="A255" s="469" t="s">
        <v>697</v>
      </c>
      <c r="B255" s="467"/>
      <c r="C255" s="468"/>
      <c r="D255" s="459" t="s">
        <v>173</v>
      </c>
      <c r="E255" s="470">
        <v>525778</v>
      </c>
      <c r="F255" s="440">
        <f>((60/1000)/15)*(0.52+0.5)</f>
        <v>4.0800000000000003E-3</v>
      </c>
      <c r="G255" s="432">
        <f>F255*E255</f>
        <v>2145.1742400000003</v>
      </c>
      <c r="H255" s="460"/>
    </row>
    <row r="256" spans="1:10">
      <c r="A256" s="469" t="s">
        <v>698</v>
      </c>
      <c r="B256" s="467"/>
      <c r="C256" s="468"/>
      <c r="D256" s="459" t="s">
        <v>173</v>
      </c>
      <c r="E256" s="470">
        <v>11900</v>
      </c>
      <c r="F256" s="440">
        <f>1/3</f>
        <v>0.33333333333333331</v>
      </c>
      <c r="G256" s="432">
        <f>F256*E256</f>
        <v>3966.6666666666665</v>
      </c>
      <c r="H256" s="460"/>
    </row>
    <row r="257" spans="1:9">
      <c r="A257" s="469" t="s">
        <v>699</v>
      </c>
      <c r="B257" s="467"/>
      <c r="C257" s="468"/>
      <c r="D257" s="459" t="s">
        <v>700</v>
      </c>
      <c r="E257" s="546">
        <v>6188</v>
      </c>
      <c r="F257" s="440">
        <f>+F256</f>
        <v>0.33333333333333331</v>
      </c>
      <c r="G257" s="432">
        <f>F257*E257</f>
        <v>2062.6666666666665</v>
      </c>
      <c r="H257" s="460"/>
    </row>
    <row r="258" spans="1:9">
      <c r="A258" s="469"/>
      <c r="B258" s="467"/>
      <c r="C258" s="468"/>
      <c r="D258" s="459"/>
      <c r="E258" s="546"/>
      <c r="F258" s="431"/>
      <c r="G258" s="432"/>
      <c r="H258" s="460"/>
    </row>
    <row r="259" spans="1:9">
      <c r="A259" s="469" t="s">
        <v>93</v>
      </c>
      <c r="B259" s="467"/>
      <c r="C259" s="471">
        <v>0.05</v>
      </c>
      <c r="D259" s="459"/>
      <c r="F259" s="431"/>
      <c r="G259" s="432">
        <f>SUM(G252:G258)*C259</f>
        <v>7937.1924655778093</v>
      </c>
      <c r="H259" s="460"/>
    </row>
    <row r="260" spans="1:9" ht="15.75" thickBot="1">
      <c r="A260" s="472"/>
      <c r="B260" s="473"/>
      <c r="C260" s="474"/>
      <c r="D260" s="464"/>
      <c r="E260" s="433"/>
      <c r="F260" s="434"/>
      <c r="G260" s="435"/>
      <c r="H260" s="465"/>
    </row>
    <row r="261" spans="1:9" ht="15.75" thickBot="1">
      <c r="A261" s="436"/>
      <c r="B261" s="436"/>
      <c r="C261" s="436"/>
      <c r="D261" s="436"/>
      <c r="E261" s="436"/>
      <c r="F261" s="436"/>
      <c r="G261" s="437" t="s">
        <v>86</v>
      </c>
      <c r="H261" s="466">
        <f>SUM(G253:G260)</f>
        <v>166681.04177713397</v>
      </c>
    </row>
    <row r="262" spans="1:9" ht="15.75" thickBot="1">
      <c r="A262" s="450" t="s">
        <v>94</v>
      </c>
      <c r="B262" s="450"/>
      <c r="C262" s="436"/>
      <c r="D262" s="436"/>
      <c r="E262" s="436"/>
      <c r="F262" s="436"/>
      <c r="G262" s="436"/>
      <c r="H262" s="436"/>
    </row>
    <row r="263" spans="1:9">
      <c r="A263" s="1345" t="s">
        <v>95</v>
      </c>
      <c r="B263" s="1346"/>
      <c r="C263" s="1347"/>
      <c r="D263" s="438" t="s">
        <v>88</v>
      </c>
      <c r="E263" s="438" t="s">
        <v>89</v>
      </c>
      <c r="F263" s="438" t="s">
        <v>90</v>
      </c>
      <c r="G263" s="439" t="s">
        <v>84</v>
      </c>
      <c r="H263" s="457"/>
    </row>
    <row r="264" spans="1:9" ht="15" customHeight="1">
      <c r="A264" s="458" t="s">
        <v>235</v>
      </c>
      <c r="B264" s="467"/>
      <c r="C264" s="468"/>
      <c r="D264" s="459" t="s">
        <v>91</v>
      </c>
      <c r="E264" s="674">
        <v>14500</v>
      </c>
      <c r="F264" s="440">
        <f>+F253</f>
        <v>0.14199999999999999</v>
      </c>
      <c r="G264" s="432">
        <f>E264*F264</f>
        <v>2059</v>
      </c>
      <c r="H264" s="460"/>
    </row>
    <row r="265" spans="1:9" ht="15.75" thickBot="1">
      <c r="A265" s="1342" t="s">
        <v>673</v>
      </c>
      <c r="B265" s="1343"/>
      <c r="C265" s="1344"/>
      <c r="D265" s="475" t="s">
        <v>674</v>
      </c>
      <c r="E265" s="433">
        <v>165000</v>
      </c>
      <c r="F265" s="434">
        <f>1/50</f>
        <v>0.02</v>
      </c>
      <c r="G265" s="441">
        <f>+E265*F265</f>
        <v>3300</v>
      </c>
      <c r="H265" s="460"/>
    </row>
    <row r="266" spans="1:9" ht="15.75" thickBot="1">
      <c r="A266" s="436"/>
      <c r="B266" s="436"/>
      <c r="C266" s="436"/>
      <c r="D266" s="436"/>
      <c r="E266" s="436"/>
      <c r="F266" s="436"/>
      <c r="G266" s="437" t="s">
        <v>86</v>
      </c>
      <c r="H266" s="466">
        <f>SUM(G264:G265)</f>
        <v>5359</v>
      </c>
      <c r="I266" s="701"/>
    </row>
    <row r="267" spans="1:9" ht="15.75" thickBot="1">
      <c r="A267" s="450" t="s">
        <v>96</v>
      </c>
      <c r="B267" s="450"/>
      <c r="C267" s="436"/>
      <c r="D267" s="436"/>
      <c r="E267" s="436"/>
      <c r="F267" s="436"/>
      <c r="G267" s="436"/>
      <c r="H267" s="436"/>
    </row>
    <row r="268" spans="1:9">
      <c r="A268" s="476" t="s">
        <v>97</v>
      </c>
      <c r="B268" s="438"/>
      <c r="C268" s="438" t="s">
        <v>98</v>
      </c>
      <c r="D268" s="438" t="s">
        <v>99</v>
      </c>
      <c r="E268" s="442" t="s">
        <v>100</v>
      </c>
      <c r="F268" s="443" t="s">
        <v>83</v>
      </c>
      <c r="G268" s="444" t="s">
        <v>84</v>
      </c>
      <c r="H268" s="477"/>
    </row>
    <row r="269" spans="1:9">
      <c r="A269" s="478" t="s">
        <v>227</v>
      </c>
      <c r="B269" s="542">
        <v>2</v>
      </c>
      <c r="C269" s="479">
        <f>PERSONAL!$E$31</f>
        <v>48800</v>
      </c>
      <c r="D269" s="480">
        <f>PERSONAL!$F$31</f>
        <v>1.7431000000000001</v>
      </c>
      <c r="E269" s="440">
        <f>+D269*C269*B269</f>
        <v>170126.56</v>
      </c>
      <c r="F269" s="440">
        <v>4.5</v>
      </c>
      <c r="G269" s="445">
        <f>ROUND(E269/F269,0)</f>
        <v>37806</v>
      </c>
      <c r="H269" s="451"/>
    </row>
    <row r="270" spans="1:9">
      <c r="A270" s="478" t="s">
        <v>101</v>
      </c>
      <c r="B270" s="498">
        <v>1</v>
      </c>
      <c r="C270" s="479">
        <f>PERSONAL!$E$32</f>
        <v>87200</v>
      </c>
      <c r="D270" s="480">
        <f>PERSONAL!$F$31</f>
        <v>1.7431000000000001</v>
      </c>
      <c r="E270" s="440">
        <f>+D270*C270*B270</f>
        <v>151998.32</v>
      </c>
      <c r="F270" s="440">
        <f>+F269</f>
        <v>4.5</v>
      </c>
      <c r="G270" s="445">
        <f>ROUND(E270/F270,0)</f>
        <v>33777</v>
      </c>
      <c r="H270" s="451"/>
    </row>
    <row r="271" spans="1:9">
      <c r="A271" s="478"/>
      <c r="B271" s="468"/>
      <c r="C271" s="430"/>
      <c r="D271" s="459"/>
      <c r="E271" s="430"/>
      <c r="F271" s="440"/>
      <c r="G271" s="445"/>
      <c r="H271" s="451"/>
    </row>
    <row r="272" spans="1:9">
      <c r="A272" s="478"/>
      <c r="B272" s="468"/>
      <c r="C272" s="430"/>
      <c r="D272" s="459"/>
      <c r="E272" s="430"/>
      <c r="F272" s="440"/>
      <c r="G272" s="445"/>
      <c r="H272" s="451"/>
    </row>
    <row r="273" spans="1:9" ht="15.75" thickBot="1">
      <c r="A273" s="481"/>
      <c r="B273" s="474"/>
      <c r="C273" s="474"/>
      <c r="D273" s="474"/>
      <c r="E273" s="474"/>
      <c r="F273" s="474"/>
      <c r="G273" s="482"/>
      <c r="H273" s="482"/>
    </row>
    <row r="274" spans="1:9" ht="15.75" thickBot="1">
      <c r="A274" s="436"/>
      <c r="B274" s="436"/>
      <c r="C274" s="436"/>
      <c r="D274" s="436"/>
      <c r="E274" s="436"/>
      <c r="F274" s="436"/>
      <c r="G274" s="437" t="s">
        <v>86</v>
      </c>
      <c r="H274" s="466">
        <f>SUM(G269:G273)</f>
        <v>71583</v>
      </c>
      <c r="I274" s="547"/>
    </row>
    <row r="275" spans="1:9" ht="15.75" thickBot="1">
      <c r="A275" s="436"/>
      <c r="B275" s="436"/>
      <c r="C275" s="436"/>
      <c r="D275" s="436"/>
      <c r="E275" s="436"/>
      <c r="F275" s="436"/>
      <c r="G275" s="483"/>
      <c r="H275" s="436"/>
    </row>
    <row r="276" spans="1:9" ht="15.75" thickBot="1">
      <c r="A276" s="436"/>
      <c r="B276" s="436"/>
      <c r="C276" s="436"/>
      <c r="D276" s="436"/>
      <c r="E276" s="484" t="s">
        <v>102</v>
      </c>
      <c r="F276" s="485"/>
      <c r="G276" s="485"/>
      <c r="H276" s="466">
        <f>H250+H261+H266+H274</f>
        <v>251090.93066602285</v>
      </c>
      <c r="I276" s="447"/>
    </row>
    <row r="277" spans="1:9" ht="15.75" thickBot="1">
      <c r="A277" s="450" t="s">
        <v>103</v>
      </c>
      <c r="B277" s="450"/>
      <c r="C277" s="436"/>
      <c r="D277" s="436"/>
      <c r="E277" s="436"/>
      <c r="F277" s="436"/>
      <c r="G277" s="436"/>
      <c r="H277" s="436"/>
    </row>
    <row r="278" spans="1:9">
      <c r="A278" s="487" t="s">
        <v>80</v>
      </c>
      <c r="B278" s="488"/>
      <c r="C278" s="488"/>
      <c r="D278" s="488"/>
      <c r="E278" s="489"/>
      <c r="F278" s="490" t="s">
        <v>104</v>
      </c>
      <c r="G278" s="491" t="s">
        <v>105</v>
      </c>
      <c r="H278" s="457"/>
    </row>
    <row r="279" spans="1:9">
      <c r="A279" s="469" t="s">
        <v>106</v>
      </c>
      <c r="B279" s="467"/>
      <c r="C279" s="467"/>
      <c r="D279" s="467"/>
      <c r="E279" s="468"/>
      <c r="F279" s="492">
        <f>PRESUPUESTO!$E$222</f>
        <v>0.109</v>
      </c>
      <c r="G279" s="493">
        <f>+F279*H276</f>
        <v>27368.911442596491</v>
      </c>
      <c r="H279" s="460"/>
    </row>
    <row r="280" spans="1:9" ht="15.75" thickBot="1">
      <c r="A280" s="472" t="s">
        <v>108</v>
      </c>
      <c r="B280" s="473"/>
      <c r="C280" s="473"/>
      <c r="D280" s="473"/>
      <c r="E280" s="474"/>
      <c r="F280" s="494">
        <f>PRESUPUESTO!$E$223</f>
        <v>0.05</v>
      </c>
      <c r="G280" s="495">
        <f>+F280*H276</f>
        <v>12554.546533301143</v>
      </c>
      <c r="H280" s="465"/>
    </row>
    <row r="281" spans="1:9" ht="15.75" thickBot="1">
      <c r="A281" s="436"/>
      <c r="B281" s="436"/>
      <c r="C281" s="436"/>
      <c r="D281" s="436"/>
      <c r="E281" s="436"/>
      <c r="F281" s="436"/>
      <c r="G281" s="437" t="s">
        <v>86</v>
      </c>
      <c r="H281" s="496">
        <f>SUM(G279:G280)</f>
        <v>39923.457975897632</v>
      </c>
    </row>
    <row r="282" spans="1:9" ht="15.75" thickBot="1">
      <c r="A282" s="436"/>
      <c r="B282" s="436"/>
      <c r="C282" s="436"/>
      <c r="D282" s="436"/>
      <c r="E282" s="436"/>
      <c r="F282" s="436"/>
      <c r="G282" s="436"/>
      <c r="H282" s="436"/>
    </row>
    <row r="283" spans="1:9" ht="15.75" thickBot="1">
      <c r="A283" s="446"/>
      <c r="B283" s="446"/>
      <c r="C283" s="436"/>
      <c r="D283" s="484" t="s">
        <v>109</v>
      </c>
      <c r="E283" s="485"/>
      <c r="F283" s="485"/>
      <c r="G283" s="485"/>
      <c r="H283" s="466">
        <f>ROUND((H276+H281),0)</f>
        <v>291014</v>
      </c>
    </row>
    <row r="284" spans="1:9">
      <c r="A284" s="446"/>
      <c r="B284" s="446"/>
      <c r="C284" s="446"/>
      <c r="D284" s="446"/>
      <c r="E284" s="446"/>
      <c r="F284" s="446"/>
      <c r="G284" s="446"/>
      <c r="H284" s="446"/>
    </row>
    <row r="285" spans="1:9">
      <c r="A285" s="186" t="s">
        <v>77</v>
      </c>
      <c r="B285" s="446"/>
      <c r="C285" s="446"/>
      <c r="D285" s="446"/>
      <c r="E285" s="446"/>
      <c r="F285" s="446"/>
      <c r="G285" s="446"/>
      <c r="H285" s="446"/>
    </row>
    <row r="286" spans="1:9" ht="15.75" thickBot="1">
      <c r="A286" s="446"/>
      <c r="B286" s="446"/>
      <c r="C286" s="446"/>
      <c r="D286" s="446"/>
      <c r="E286" s="446"/>
      <c r="F286" s="446"/>
      <c r="G286" s="446"/>
      <c r="H286" s="446"/>
    </row>
    <row r="287" spans="1:9">
      <c r="A287" s="1348" t="s">
        <v>213</v>
      </c>
      <c r="B287" s="1349"/>
      <c r="C287" s="1350"/>
      <c r="D287" s="448"/>
      <c r="E287" s="448"/>
      <c r="F287" s="448"/>
      <c r="G287" s="448"/>
      <c r="H287" s="449"/>
    </row>
    <row r="288" spans="1:9">
      <c r="A288" s="1351"/>
      <c r="B288" s="1352"/>
      <c r="C288" s="1353"/>
      <c r="D288" s="436"/>
      <c r="E288" s="450" t="s">
        <v>78</v>
      </c>
      <c r="F288" s="436"/>
      <c r="G288" s="436"/>
      <c r="H288" s="451"/>
    </row>
    <row r="289" spans="1:17" ht="15.75" thickBot="1">
      <c r="A289" s="1354"/>
      <c r="B289" s="1355"/>
      <c r="C289" s="1356"/>
      <c r="D289" s="1360"/>
      <c r="E289" s="1361"/>
      <c r="F289" s="1361"/>
      <c r="G289" s="1361"/>
      <c r="H289" s="1362"/>
    </row>
    <row r="290" spans="1:17">
      <c r="A290" s="455"/>
      <c r="B290" s="436"/>
      <c r="C290" s="436"/>
      <c r="D290" s="436"/>
      <c r="E290" s="436"/>
      <c r="F290" s="436"/>
      <c r="G290" s="436"/>
      <c r="H290" s="436"/>
    </row>
    <row r="291" spans="1:17" s="446" customFormat="1">
      <c r="A291" s="455" t="s">
        <v>1146</v>
      </c>
      <c r="B291" s="456" t="str">
        <f>+PRESUPUESTO!$B$40</f>
        <v>CONCRETOS</v>
      </c>
      <c r="C291" s="436"/>
      <c r="E291" s="456"/>
      <c r="G291" s="456" t="s">
        <v>1123</v>
      </c>
      <c r="H291" s="483" t="str">
        <f>+PRESUPUESTO!A50</f>
        <v>3.2.1</v>
      </c>
      <c r="I291" s="436"/>
      <c r="J291"/>
      <c r="K291"/>
      <c r="L291"/>
      <c r="M291"/>
      <c r="N291"/>
      <c r="O291"/>
      <c r="P291"/>
      <c r="Q291"/>
    </row>
    <row r="292" spans="1:17" s="931" customFormat="1" ht="52.15" customHeight="1">
      <c r="A292" s="928" t="s">
        <v>1122</v>
      </c>
      <c r="B292" s="1374" t="str">
        <f>VLOOKUP(H291,PRESUPUESTO!$A$18:$F$251,2,FALSE)</f>
        <v>Pavimento Rígido Premezclado de 28 Mpa MR 41 con e=23 cm.  Incluye suministro, transporte e instalación del concreto, mano de obra, vibrado, protección y curado. No incluye refuerzo.</v>
      </c>
      <c r="C292" s="1374"/>
      <c r="D292" s="1374"/>
      <c r="E292" s="1374"/>
      <c r="F292" s="1374"/>
      <c r="G292" s="929" t="s">
        <v>9</v>
      </c>
      <c r="H292" s="1024" t="str">
        <f>VLOOKUP(H291,PRESUPUESTO!$A$18:$F$251,3,FALSE)</f>
        <v>m2</v>
      </c>
      <c r="J292"/>
      <c r="K292"/>
      <c r="L292"/>
      <c r="M292"/>
      <c r="N292"/>
      <c r="O292"/>
      <c r="P292"/>
      <c r="Q292"/>
    </row>
    <row r="293" spans="1:17">
      <c r="A293" s="456"/>
      <c r="B293" s="456"/>
      <c r="C293" s="436"/>
      <c r="D293" s="456"/>
      <c r="E293" s="456"/>
      <c r="F293" s="456"/>
      <c r="G293" s="456"/>
      <c r="H293" s="436"/>
    </row>
    <row r="294" spans="1:17" ht="15.75" thickBot="1">
      <c r="A294" s="450" t="s">
        <v>79</v>
      </c>
      <c r="B294" s="450"/>
      <c r="C294" s="436"/>
      <c r="D294" s="436"/>
      <c r="E294" s="436"/>
      <c r="F294" s="436"/>
      <c r="G294" s="436"/>
      <c r="H294" s="436"/>
    </row>
    <row r="295" spans="1:17">
      <c r="A295" s="1345" t="s">
        <v>80</v>
      </c>
      <c r="B295" s="1346"/>
      <c r="C295" s="1347"/>
      <c r="D295" s="438" t="s">
        <v>81</v>
      </c>
      <c r="E295" s="438" t="s">
        <v>82</v>
      </c>
      <c r="F295" s="438" t="s">
        <v>83</v>
      </c>
      <c r="G295" s="439" t="s">
        <v>84</v>
      </c>
      <c r="H295" s="457"/>
    </row>
    <row r="296" spans="1:17">
      <c r="A296" s="1357" t="s">
        <v>85</v>
      </c>
      <c r="B296" s="1358"/>
      <c r="C296" s="1359"/>
      <c r="D296" s="459"/>
      <c r="E296" s="440"/>
      <c r="F296" s="440"/>
      <c r="G296" s="432">
        <f>ROUND(H323*0.05,0)</f>
        <v>2301</v>
      </c>
      <c r="H296" s="460"/>
    </row>
    <row r="297" spans="1:17">
      <c r="A297" s="1357" t="s">
        <v>532</v>
      </c>
      <c r="B297" s="1358"/>
      <c r="C297" s="1359"/>
      <c r="D297" s="461" t="s">
        <v>263</v>
      </c>
      <c r="E297" s="462">
        <f>MATERIALES!$C$9</f>
        <v>35000</v>
      </c>
      <c r="F297" s="497">
        <v>0.15</v>
      </c>
      <c r="G297" s="432">
        <f>E297*F297</f>
        <v>5250</v>
      </c>
      <c r="H297" s="460"/>
    </row>
    <row r="298" spans="1:17" ht="15.75" thickBot="1">
      <c r="A298" s="1342" t="s">
        <v>669</v>
      </c>
      <c r="B298" s="1343"/>
      <c r="C298" s="1344"/>
      <c r="D298" s="464" t="s">
        <v>670</v>
      </c>
      <c r="E298" s="433">
        <v>260000</v>
      </c>
      <c r="F298" s="704">
        <f>(1/(1.83*2.44))*(0.4*2)/3*1.2/8</f>
        <v>8.9581653677326886E-3</v>
      </c>
      <c r="G298" s="441">
        <f>E298*F298</f>
        <v>2329.1229956104989</v>
      </c>
      <c r="H298" s="465"/>
    </row>
    <row r="299" spans="1:17" ht="15.75" thickBot="1">
      <c r="A299" s="436"/>
      <c r="B299" s="436"/>
      <c r="C299" s="436"/>
      <c r="D299" s="436"/>
      <c r="E299" s="436"/>
      <c r="F299" s="436"/>
      <c r="G299" s="437" t="s">
        <v>86</v>
      </c>
      <c r="H299" s="466">
        <f>SUM(G296:G298)</f>
        <v>9880.122995610498</v>
      </c>
    </row>
    <row r="300" spans="1:17" ht="15.75" thickBot="1">
      <c r="A300" s="450" t="s">
        <v>87</v>
      </c>
      <c r="B300" s="450"/>
      <c r="C300" s="436"/>
      <c r="D300" s="436"/>
      <c r="E300" s="436"/>
      <c r="F300" s="436"/>
      <c r="G300" s="436"/>
      <c r="H300" s="436"/>
    </row>
    <row r="301" spans="1:17">
      <c r="A301" s="1345" t="s">
        <v>80</v>
      </c>
      <c r="B301" s="1346"/>
      <c r="C301" s="1347"/>
      <c r="D301" s="438" t="s">
        <v>88</v>
      </c>
      <c r="E301" s="438" t="s">
        <v>89</v>
      </c>
      <c r="F301" s="438" t="s">
        <v>90</v>
      </c>
      <c r="G301" s="439" t="s">
        <v>84</v>
      </c>
      <c r="H301" s="457"/>
    </row>
    <row r="302" spans="1:17">
      <c r="A302" s="703" t="s">
        <v>1263</v>
      </c>
      <c r="B302" s="467"/>
      <c r="C302" s="468"/>
      <c r="D302" s="702" t="s">
        <v>91</v>
      </c>
      <c r="E302" s="674">
        <f>576450*1.19</f>
        <v>685975.5</v>
      </c>
      <c r="F302" s="431">
        <v>0.23</v>
      </c>
      <c r="G302" s="432">
        <f>E302*F302</f>
        <v>157774.36500000002</v>
      </c>
      <c r="H302" s="460"/>
    </row>
    <row r="303" spans="1:17">
      <c r="A303" s="469" t="s">
        <v>614</v>
      </c>
      <c r="B303" s="467"/>
      <c r="C303" s="468"/>
      <c r="D303" s="459" t="s">
        <v>237</v>
      </c>
      <c r="E303" s="430">
        <f>57420*1.19</f>
        <v>68329.8</v>
      </c>
      <c r="F303" s="691">
        <f>+F302*0.35</f>
        <v>8.0500000000000002E-2</v>
      </c>
      <c r="G303" s="432">
        <f>F303*E303</f>
        <v>5500.5489000000007</v>
      </c>
      <c r="H303" s="460"/>
    </row>
    <row r="304" spans="1:17">
      <c r="A304" s="469" t="s">
        <v>697</v>
      </c>
      <c r="B304" s="467"/>
      <c r="C304" s="468"/>
      <c r="D304" s="459" t="s">
        <v>173</v>
      </c>
      <c r="E304" s="470">
        <v>525778</v>
      </c>
      <c r="F304" s="431">
        <f>((60/1000)/15)*0.23*(10*2+4*2)/(10*4*0.23)</f>
        <v>2.8E-3</v>
      </c>
      <c r="G304" s="432">
        <f>F304*E304</f>
        <v>1472.1784</v>
      </c>
      <c r="H304" s="460"/>
    </row>
    <row r="305" spans="1:9">
      <c r="A305" s="469"/>
      <c r="B305" s="467"/>
      <c r="C305" s="468"/>
      <c r="D305" s="459"/>
      <c r="E305" s="546"/>
      <c r="F305" s="686"/>
      <c r="G305" s="432"/>
      <c r="H305" s="460"/>
    </row>
    <row r="306" spans="1:9">
      <c r="A306" s="469" t="s">
        <v>93</v>
      </c>
      <c r="B306" s="467"/>
      <c r="C306" s="471">
        <v>0.05</v>
      </c>
      <c r="D306" s="459"/>
      <c r="F306" s="431"/>
      <c r="G306" s="432">
        <f>SUM(G302:G305)*C306</f>
        <v>8237.354615000002</v>
      </c>
      <c r="H306" s="460"/>
    </row>
    <row r="307" spans="1:9">
      <c r="A307" s="469"/>
      <c r="B307" s="467"/>
      <c r="C307" s="468"/>
      <c r="D307" s="459"/>
      <c r="E307" s="430"/>
      <c r="F307" s="431"/>
      <c r="G307" s="432"/>
      <c r="H307" s="460"/>
    </row>
    <row r="308" spans="1:9">
      <c r="A308" s="469"/>
      <c r="B308" s="467"/>
      <c r="C308" s="468"/>
      <c r="D308" s="459"/>
      <c r="E308" s="430"/>
      <c r="F308" s="431"/>
      <c r="G308" s="432"/>
      <c r="H308" s="460"/>
    </row>
    <row r="309" spans="1:9" ht="15.75" thickBot="1">
      <c r="A309" s="472"/>
      <c r="B309" s="473"/>
      <c r="C309" s="474"/>
      <c r="D309" s="464"/>
      <c r="E309" s="433"/>
      <c r="F309" s="434"/>
      <c r="G309" s="435"/>
      <c r="H309" s="465"/>
    </row>
    <row r="310" spans="1:9" ht="15.75" thickBot="1">
      <c r="A310" s="436"/>
      <c r="B310" s="436"/>
      <c r="C310" s="436"/>
      <c r="D310" s="436"/>
      <c r="E310" s="436"/>
      <c r="F310" s="436"/>
      <c r="G310" s="437" t="s">
        <v>86</v>
      </c>
      <c r="H310" s="466">
        <f>SUM(G302:G309)</f>
        <v>172984.44691500001</v>
      </c>
    </row>
    <row r="311" spans="1:9" ht="15.75" thickBot="1">
      <c r="A311" s="450" t="s">
        <v>94</v>
      </c>
      <c r="B311" s="450"/>
      <c r="C311" s="436"/>
      <c r="D311" s="436"/>
      <c r="E311" s="436"/>
      <c r="F311" s="436"/>
      <c r="G311" s="436"/>
      <c r="H311" s="436"/>
    </row>
    <row r="312" spans="1:9">
      <c r="A312" s="1345" t="s">
        <v>95</v>
      </c>
      <c r="B312" s="1346"/>
      <c r="C312" s="1347"/>
      <c r="D312" s="438" t="s">
        <v>88</v>
      </c>
      <c r="E312" s="438" t="s">
        <v>89</v>
      </c>
      <c r="F312" s="438" t="s">
        <v>90</v>
      </c>
      <c r="G312" s="439" t="s">
        <v>84</v>
      </c>
      <c r="H312" s="457"/>
    </row>
    <row r="313" spans="1:9">
      <c r="A313" s="458" t="s">
        <v>235</v>
      </c>
      <c r="B313" s="467"/>
      <c r="C313" s="468"/>
      <c r="D313" s="459" t="s">
        <v>91</v>
      </c>
      <c r="E313" s="430">
        <v>28350</v>
      </c>
      <c r="F313" s="686"/>
      <c r="G313" s="432">
        <f>E313*F313</f>
        <v>0</v>
      </c>
      <c r="H313" s="460"/>
    </row>
    <row r="314" spans="1:9" ht="15.75" thickBot="1">
      <c r="A314" s="1342" t="s">
        <v>673</v>
      </c>
      <c r="B314" s="1343"/>
      <c r="C314" s="1344"/>
      <c r="D314" s="475" t="s">
        <v>668</v>
      </c>
      <c r="E314" s="433">
        <v>165000</v>
      </c>
      <c r="F314" s="704">
        <f>1/20</f>
        <v>0.05</v>
      </c>
      <c r="G314" s="441">
        <f>+E314*F314</f>
        <v>8250</v>
      </c>
      <c r="H314" s="460"/>
      <c r="I314" s="683"/>
    </row>
    <row r="315" spans="1:9" ht="15.75" thickBot="1">
      <c r="A315" s="436"/>
      <c r="B315" s="436"/>
      <c r="C315" s="436"/>
      <c r="D315" s="436"/>
      <c r="E315" s="436"/>
      <c r="F315" s="436"/>
      <c r="G315" s="437" t="s">
        <v>86</v>
      </c>
      <c r="H315" s="466">
        <f>SUM(G313:G314)</f>
        <v>8250</v>
      </c>
      <c r="I315" s="1075"/>
    </row>
    <row r="316" spans="1:9" ht="15.75" thickBot="1">
      <c r="A316" s="450" t="s">
        <v>96</v>
      </c>
      <c r="B316" s="450"/>
      <c r="C316" s="436"/>
      <c r="D316" s="436"/>
      <c r="E316" s="436"/>
      <c r="F316" s="436"/>
      <c r="G316" s="436"/>
      <c r="H316" s="436"/>
    </row>
    <row r="317" spans="1:9">
      <c r="A317" s="476" t="s">
        <v>97</v>
      </c>
      <c r="B317" s="438"/>
      <c r="C317" s="438" t="s">
        <v>98</v>
      </c>
      <c r="D317" s="438" t="s">
        <v>99</v>
      </c>
      <c r="E317" s="442" t="s">
        <v>100</v>
      </c>
      <c r="F317" s="443" t="s">
        <v>83</v>
      </c>
      <c r="G317" s="444" t="s">
        <v>84</v>
      </c>
      <c r="H317" s="477"/>
    </row>
    <row r="318" spans="1:9">
      <c r="A318" s="478" t="s">
        <v>227</v>
      </c>
      <c r="B318" s="542">
        <v>2</v>
      </c>
      <c r="C318" s="479">
        <f>PERSONAL!$E$31</f>
        <v>48800</v>
      </c>
      <c r="D318" s="480">
        <f>PERSONAL!$F$31</f>
        <v>1.7431000000000001</v>
      </c>
      <c r="E318" s="440">
        <f>+D318*C318*B318</f>
        <v>170126.56</v>
      </c>
      <c r="F318" s="686">
        <v>7</v>
      </c>
      <c r="G318" s="445">
        <f>ROUND(E318/F318,0)</f>
        <v>24304</v>
      </c>
      <c r="H318" s="451"/>
    </row>
    <row r="319" spans="1:9">
      <c r="A319" s="478" t="s">
        <v>101</v>
      </c>
      <c r="B319" s="498">
        <v>1</v>
      </c>
      <c r="C319" s="479">
        <f>PERSONAL!$E$32</f>
        <v>87200</v>
      </c>
      <c r="D319" s="480">
        <f>PERSONAL!$F$31</f>
        <v>1.7431000000000001</v>
      </c>
      <c r="E319" s="440">
        <f>+D319*C319*B319</f>
        <v>151998.32</v>
      </c>
      <c r="F319" s="686">
        <f>+F318</f>
        <v>7</v>
      </c>
      <c r="G319" s="445">
        <f>ROUND(E319/F319,0)</f>
        <v>21714</v>
      </c>
      <c r="H319" s="451"/>
    </row>
    <row r="320" spans="1:9">
      <c r="A320" s="478"/>
      <c r="B320" s="468"/>
      <c r="C320" s="430"/>
      <c r="D320" s="459"/>
      <c r="E320" s="430"/>
      <c r="F320" s="440"/>
      <c r="G320" s="445"/>
      <c r="H320" s="451"/>
    </row>
    <row r="321" spans="1:9">
      <c r="A321" s="478"/>
      <c r="B321" s="468"/>
      <c r="C321" s="430"/>
      <c r="D321" s="459"/>
      <c r="E321" s="430"/>
      <c r="F321" s="440"/>
      <c r="G321" s="445"/>
      <c r="H321" s="451"/>
    </row>
    <row r="322" spans="1:9" ht="15.75" thickBot="1">
      <c r="A322" s="481"/>
      <c r="B322" s="474"/>
      <c r="C322" s="474"/>
      <c r="D322" s="474"/>
      <c r="E322" s="474"/>
      <c r="F322" s="474"/>
      <c r="G322" s="482"/>
      <c r="H322" s="482"/>
    </row>
    <row r="323" spans="1:9" ht="15.75" thickBot="1">
      <c r="A323" s="436"/>
      <c r="B323" s="436"/>
      <c r="C323" s="436"/>
      <c r="D323" s="436"/>
      <c r="E323" s="436"/>
      <c r="F323" s="436"/>
      <c r="G323" s="437" t="s">
        <v>86</v>
      </c>
      <c r="H323" s="466">
        <f>SUM(G318:G322)</f>
        <v>46018</v>
      </c>
      <c r="I323" s="701"/>
    </row>
    <row r="324" spans="1:9" ht="15.75" thickBot="1">
      <c r="A324" s="436"/>
      <c r="B324" s="436"/>
      <c r="C324" s="436"/>
      <c r="D324" s="436"/>
      <c r="E324" s="436"/>
      <c r="F324" s="436"/>
      <c r="G324" s="483"/>
      <c r="H324" s="436"/>
    </row>
    <row r="325" spans="1:9" ht="15.75" thickBot="1">
      <c r="A325" s="436"/>
      <c r="B325" s="436"/>
      <c r="C325" s="436"/>
      <c r="D325" s="436"/>
      <c r="E325" s="484" t="s">
        <v>102</v>
      </c>
      <c r="F325" s="485"/>
      <c r="G325" s="485"/>
      <c r="H325" s="466">
        <f>H299+H310+H315+H323</f>
        <v>237132.5699106105</v>
      </c>
      <c r="I325" s="683">
        <f>+H325/0.23</f>
        <v>1031011.1735243935</v>
      </c>
    </row>
    <row r="326" spans="1:9" ht="15.75" thickBot="1">
      <c r="A326" s="450" t="s">
        <v>103</v>
      </c>
      <c r="B326" s="450"/>
      <c r="C326" s="436"/>
      <c r="D326" s="436"/>
      <c r="E326" s="436"/>
      <c r="F326" s="436"/>
      <c r="G326" s="436"/>
      <c r="H326" s="436"/>
    </row>
    <row r="327" spans="1:9">
      <c r="A327" s="487" t="s">
        <v>80</v>
      </c>
      <c r="B327" s="488"/>
      <c r="C327" s="488"/>
      <c r="D327" s="488"/>
      <c r="E327" s="489"/>
      <c r="F327" s="490" t="s">
        <v>104</v>
      </c>
      <c r="G327" s="491" t="s">
        <v>105</v>
      </c>
      <c r="H327" s="457"/>
    </row>
    <row r="328" spans="1:9">
      <c r="A328" s="469" t="s">
        <v>106</v>
      </c>
      <c r="B328" s="467"/>
      <c r="C328" s="467"/>
      <c r="D328" s="467"/>
      <c r="E328" s="468"/>
      <c r="F328" s="492">
        <f>PRESUPUESTO!$E$222</f>
        <v>0.109</v>
      </c>
      <c r="G328" s="493">
        <f>+F328*H325</f>
        <v>25847.450120256544</v>
      </c>
      <c r="H328" s="460"/>
    </row>
    <row r="329" spans="1:9" ht="15.75" thickBot="1">
      <c r="A329" s="472" t="s">
        <v>108</v>
      </c>
      <c r="B329" s="473"/>
      <c r="C329" s="473"/>
      <c r="D329" s="473"/>
      <c r="E329" s="474"/>
      <c r="F329" s="494">
        <f>PRESUPUESTO!$E$223</f>
        <v>0.05</v>
      </c>
      <c r="G329" s="495">
        <f>+F329*H325</f>
        <v>11856.628495530525</v>
      </c>
      <c r="H329" s="465"/>
    </row>
    <row r="330" spans="1:9" ht="15.75" thickBot="1">
      <c r="A330" s="436"/>
      <c r="B330" s="436"/>
      <c r="C330" s="436"/>
      <c r="D330" s="436"/>
      <c r="E330" s="436"/>
      <c r="F330" s="436"/>
      <c r="G330" s="437" t="s">
        <v>86</v>
      </c>
      <c r="H330" s="496">
        <f>SUM(G328:G329)</f>
        <v>37704.078615787068</v>
      </c>
    </row>
    <row r="331" spans="1:9" ht="15.75" thickBot="1">
      <c r="A331" s="436"/>
      <c r="B331" s="436"/>
      <c r="C331" s="436"/>
      <c r="D331" s="436"/>
      <c r="E331" s="436"/>
      <c r="F331" s="436"/>
      <c r="G331" s="436"/>
      <c r="H331" s="436"/>
    </row>
    <row r="332" spans="1:9" ht="15.75" thickBot="1">
      <c r="A332" s="446"/>
      <c r="B332" s="446"/>
      <c r="C332" s="436"/>
      <c r="D332" s="484" t="s">
        <v>109</v>
      </c>
      <c r="E332" s="485"/>
      <c r="F332" s="485"/>
      <c r="G332" s="485"/>
      <c r="H332" s="466">
        <f>ROUND((H325+H330),0)</f>
        <v>274837</v>
      </c>
    </row>
    <row r="333" spans="1:9" ht="15.75" thickBot="1">
      <c r="A333" s="446"/>
      <c r="B333" s="446"/>
      <c r="C333" s="446"/>
      <c r="D333" s="446"/>
      <c r="E333" s="446"/>
      <c r="F333" s="446"/>
      <c r="G333" s="446"/>
      <c r="H333" s="446"/>
    </row>
    <row r="334" spans="1:9">
      <c r="A334" s="1348" t="s">
        <v>213</v>
      </c>
      <c r="B334" s="1349"/>
      <c r="C334" s="1350"/>
      <c r="D334" s="448"/>
      <c r="E334" s="448"/>
      <c r="F334" s="448"/>
      <c r="G334" s="448"/>
      <c r="H334" s="449"/>
    </row>
    <row r="335" spans="1:9">
      <c r="A335" s="1351"/>
      <c r="B335" s="1352"/>
      <c r="C335" s="1353"/>
      <c r="D335" s="436"/>
      <c r="E335" s="450" t="s">
        <v>78</v>
      </c>
      <c r="F335" s="436"/>
      <c r="G335" s="436"/>
      <c r="H335" s="451"/>
    </row>
    <row r="336" spans="1:9" ht="15.75" thickBot="1">
      <c r="A336" s="1354"/>
      <c r="B336" s="1355"/>
      <c r="C336" s="1356"/>
      <c r="D336" s="1360"/>
      <c r="E336" s="1361"/>
      <c r="F336" s="1361"/>
      <c r="G336" s="1361"/>
      <c r="H336" s="1362"/>
    </row>
    <row r="337" spans="1:10">
      <c r="A337" s="455"/>
      <c r="B337" s="436"/>
      <c r="C337" s="436"/>
      <c r="D337" s="436"/>
      <c r="E337" s="436"/>
      <c r="F337" s="436"/>
      <c r="G337" s="436"/>
      <c r="H337" s="436"/>
    </row>
    <row r="338" spans="1:10" s="446" customFormat="1" ht="12.75">
      <c r="A338" s="455" t="s">
        <v>1146</v>
      </c>
      <c r="B338" s="456" t="str">
        <f>+PRESUPUESTO!$B$40</f>
        <v>CONCRETOS</v>
      </c>
      <c r="C338" s="436"/>
      <c r="E338" s="456"/>
      <c r="G338" s="456" t="s">
        <v>1123</v>
      </c>
      <c r="H338" s="483" t="str">
        <f>+PRESUPUESTO!A51</f>
        <v>3.2.2</v>
      </c>
      <c r="I338" s="436"/>
      <c r="J338" s="436"/>
    </row>
    <row r="339" spans="1:10" s="931" customFormat="1" ht="52.15" customHeight="1">
      <c r="A339" s="928" t="s">
        <v>1122</v>
      </c>
      <c r="B339" s="1374" t="str">
        <f>VLOOKUP(H338,PRESUPUESTO!$A$18:$F$251,2,FALSE)</f>
        <v>Construcción de LOSA DE FUNDACIÓN en concreto de 21 Mpa. con un espesor 9cm. Incluye suministro, transporte e instalación del concreto, mano de obra, vibrado, protección y curado, para estructuras de acuerdo con las diferentes dimensiones establecidas en los planos y diseños. No incluye refuerzo.</v>
      </c>
      <c r="C339" s="1374"/>
      <c r="D339" s="1374"/>
      <c r="E339" s="1374"/>
      <c r="F339" s="1374"/>
      <c r="G339" s="929" t="s">
        <v>9</v>
      </c>
      <c r="H339" s="1024" t="str">
        <f>VLOOKUP(H338,PRESUPUESTO!$A$18:$F$251,3,FALSE)</f>
        <v>m2</v>
      </c>
    </row>
    <row r="340" spans="1:10">
      <c r="A340" s="456"/>
      <c r="B340" s="456"/>
      <c r="C340" s="436"/>
      <c r="D340" s="456"/>
      <c r="E340" s="456"/>
      <c r="F340" s="456"/>
      <c r="G340" s="456"/>
      <c r="H340" s="436"/>
    </row>
    <row r="341" spans="1:10" ht="15.75" thickBot="1">
      <c r="A341" s="450" t="s">
        <v>79</v>
      </c>
      <c r="B341" s="450"/>
      <c r="C341" s="436"/>
      <c r="D341" s="436"/>
      <c r="E341" s="436"/>
      <c r="F341" s="436"/>
      <c r="G341" s="436"/>
      <c r="H341" s="436"/>
    </row>
    <row r="342" spans="1:10">
      <c r="A342" s="1345" t="s">
        <v>80</v>
      </c>
      <c r="B342" s="1346"/>
      <c r="C342" s="1347"/>
      <c r="D342" s="438" t="s">
        <v>81</v>
      </c>
      <c r="E342" s="438" t="s">
        <v>82</v>
      </c>
      <c r="F342" s="438" t="s">
        <v>83</v>
      </c>
      <c r="G342" s="439" t="s">
        <v>84</v>
      </c>
      <c r="H342" s="457"/>
    </row>
    <row r="343" spans="1:10">
      <c r="A343" s="1357" t="s">
        <v>85</v>
      </c>
      <c r="B343" s="1358"/>
      <c r="C343" s="1359"/>
      <c r="D343" s="459"/>
      <c r="E343" s="440"/>
      <c r="F343" s="440"/>
      <c r="G343" s="432">
        <f>ROUND(H370*0.05,0)</f>
        <v>1611</v>
      </c>
      <c r="H343" s="460"/>
    </row>
    <row r="344" spans="1:10">
      <c r="A344" s="1357" t="s">
        <v>532</v>
      </c>
      <c r="B344" s="1358"/>
      <c r="C344" s="1359"/>
      <c r="D344" s="461" t="s">
        <v>263</v>
      </c>
      <c r="E344" s="462">
        <f>MATERIALES!$C$9</f>
        <v>35000</v>
      </c>
      <c r="F344" s="497">
        <f>0.15*(0.09/0.25)</f>
        <v>5.3999999999999999E-2</v>
      </c>
      <c r="G344" s="432">
        <f>E344*F344</f>
        <v>1890</v>
      </c>
      <c r="H344" s="460"/>
    </row>
    <row r="345" spans="1:10" ht="15.75" thickBot="1">
      <c r="A345" s="1342" t="s">
        <v>669</v>
      </c>
      <c r="B345" s="1343"/>
      <c r="C345" s="1344"/>
      <c r="D345" s="464" t="s">
        <v>670</v>
      </c>
      <c r="E345" s="433">
        <v>260000</v>
      </c>
      <c r="F345" s="704">
        <f>(1/(1.83*2.44))*(0.4*2)/3*1.2/8</f>
        <v>8.9581653677326886E-3</v>
      </c>
      <c r="G345" s="441">
        <f>E345*F345</f>
        <v>2329.1229956104989</v>
      </c>
      <c r="H345" s="465"/>
    </row>
    <row r="346" spans="1:10" ht="15.75" thickBot="1">
      <c r="A346" s="436"/>
      <c r="B346" s="436"/>
      <c r="C346" s="436"/>
      <c r="D346" s="436"/>
      <c r="E346" s="436"/>
      <c r="F346" s="436"/>
      <c r="G346" s="437" t="s">
        <v>86</v>
      </c>
      <c r="H346" s="466">
        <f>SUM(G343:G345)</f>
        <v>5830.1229956104989</v>
      </c>
    </row>
    <row r="347" spans="1:10" ht="15.75" thickBot="1">
      <c r="A347" s="450" t="s">
        <v>87</v>
      </c>
      <c r="B347" s="450"/>
      <c r="C347" s="436"/>
      <c r="D347" s="436"/>
      <c r="E347" s="436"/>
      <c r="F347" s="436"/>
      <c r="G347" s="436"/>
      <c r="H347" s="436"/>
    </row>
    <row r="348" spans="1:10">
      <c r="A348" s="1345" t="s">
        <v>80</v>
      </c>
      <c r="B348" s="1346"/>
      <c r="C348" s="1347"/>
      <c r="D348" s="438" t="s">
        <v>88</v>
      </c>
      <c r="E348" s="438" t="s">
        <v>89</v>
      </c>
      <c r="F348" s="438" t="s">
        <v>90</v>
      </c>
      <c r="G348" s="439" t="s">
        <v>84</v>
      </c>
      <c r="H348" s="457"/>
    </row>
    <row r="349" spans="1:10">
      <c r="A349" s="703" t="s">
        <v>1258</v>
      </c>
      <c r="B349" s="467"/>
      <c r="C349" s="468"/>
      <c r="D349" s="702" t="s">
        <v>91</v>
      </c>
      <c r="E349" s="674">
        <f>536450*1.19</f>
        <v>638375.5</v>
      </c>
      <c r="F349" s="431">
        <v>0.09</v>
      </c>
      <c r="G349" s="432">
        <f>E349*F349</f>
        <v>57453.794999999998</v>
      </c>
      <c r="H349" s="460"/>
    </row>
    <row r="350" spans="1:10">
      <c r="A350" s="469" t="s">
        <v>614</v>
      </c>
      <c r="B350" s="467"/>
      <c r="C350" s="468"/>
      <c r="D350" s="459" t="s">
        <v>237</v>
      </c>
      <c r="E350" s="674">
        <f>57420*1.19</f>
        <v>68329.8</v>
      </c>
      <c r="F350" s="691">
        <f>+F349</f>
        <v>0.09</v>
      </c>
      <c r="G350" s="432">
        <f>F350*E350</f>
        <v>6149.6819999999998</v>
      </c>
      <c r="H350" s="460"/>
    </row>
    <row r="351" spans="1:10">
      <c r="A351" s="469" t="s">
        <v>697</v>
      </c>
      <c r="B351" s="467"/>
      <c r="C351" s="468"/>
      <c r="D351" s="459" t="s">
        <v>173</v>
      </c>
      <c r="E351" s="470">
        <v>525778</v>
      </c>
      <c r="F351" s="431">
        <f>((60/1000)/15)*0.1*(3*2+2*2)/(3*2*0.1)</f>
        <v>6.6666666666666662E-3</v>
      </c>
      <c r="G351" s="432">
        <f>F351*E351</f>
        <v>3505.1866666666665</v>
      </c>
      <c r="H351" s="460"/>
    </row>
    <row r="352" spans="1:10">
      <c r="A352" s="469"/>
      <c r="B352" s="467"/>
      <c r="C352" s="468"/>
      <c r="D352" s="459"/>
      <c r="E352" s="546"/>
      <c r="F352" s="431"/>
      <c r="G352" s="432"/>
      <c r="H352" s="460"/>
    </row>
    <row r="353" spans="1:9">
      <c r="A353" s="469" t="s">
        <v>93</v>
      </c>
      <c r="B353" s="467"/>
      <c r="C353" s="471">
        <v>0.05</v>
      </c>
      <c r="D353" s="459"/>
      <c r="F353" s="431"/>
      <c r="G353" s="432">
        <f>SUM(G348:G352)*C353</f>
        <v>3355.4331833333331</v>
      </c>
      <c r="H353" s="460"/>
    </row>
    <row r="354" spans="1:9">
      <c r="A354" s="469"/>
      <c r="B354" s="467"/>
      <c r="C354" s="468"/>
      <c r="D354" s="459"/>
      <c r="E354" s="430"/>
      <c r="F354" s="431"/>
      <c r="G354" s="432"/>
      <c r="H354" s="460"/>
    </row>
    <row r="355" spans="1:9">
      <c r="A355" s="469"/>
      <c r="B355" s="467"/>
      <c r="C355" s="468"/>
      <c r="D355" s="459"/>
      <c r="E355" s="430"/>
      <c r="F355" s="431"/>
      <c r="G355" s="432"/>
      <c r="H355" s="460"/>
    </row>
    <row r="356" spans="1:9" ht="15.75" thickBot="1">
      <c r="A356" s="472"/>
      <c r="B356" s="473"/>
      <c r="C356" s="474"/>
      <c r="D356" s="464"/>
      <c r="E356" s="433"/>
      <c r="F356" s="434"/>
      <c r="G356" s="435"/>
      <c r="H356" s="465"/>
    </row>
    <row r="357" spans="1:9" ht="15.75" thickBot="1">
      <c r="A357" s="436"/>
      <c r="B357" s="436"/>
      <c r="C357" s="436"/>
      <c r="D357" s="436"/>
      <c r="E357" s="436"/>
      <c r="F357" s="436"/>
      <c r="G357" s="437" t="s">
        <v>86</v>
      </c>
      <c r="H357" s="466">
        <f>SUM(G349:G356)</f>
        <v>70464.096849999987</v>
      </c>
    </row>
    <row r="358" spans="1:9" ht="15.75" thickBot="1">
      <c r="A358" s="450" t="s">
        <v>94</v>
      </c>
      <c r="B358" s="450"/>
      <c r="C358" s="436"/>
      <c r="D358" s="436"/>
      <c r="E358" s="436"/>
      <c r="F358" s="436"/>
      <c r="G358" s="436"/>
      <c r="H358" s="436"/>
    </row>
    <row r="359" spans="1:9">
      <c r="A359" s="1345" t="s">
        <v>95</v>
      </c>
      <c r="B359" s="1346"/>
      <c r="C359" s="1347"/>
      <c r="D359" s="438" t="s">
        <v>88</v>
      </c>
      <c r="E359" s="438" t="s">
        <v>89</v>
      </c>
      <c r="F359" s="438" t="s">
        <v>90</v>
      </c>
      <c r="G359" s="439" t="s">
        <v>84</v>
      </c>
      <c r="H359" s="457"/>
    </row>
    <row r="360" spans="1:9">
      <c r="A360" s="458" t="s">
        <v>235</v>
      </c>
      <c r="B360" s="467"/>
      <c r="C360" s="468"/>
      <c r="D360" s="459" t="s">
        <v>91</v>
      </c>
      <c r="E360" s="430">
        <v>28350</v>
      </c>
      <c r="F360" s="686"/>
      <c r="G360" s="432">
        <f>E360*F360</f>
        <v>0</v>
      </c>
      <c r="H360" s="460"/>
    </row>
    <row r="361" spans="1:9" ht="15.75" thickBot="1">
      <c r="A361" s="1342" t="s">
        <v>673</v>
      </c>
      <c r="B361" s="1343"/>
      <c r="C361" s="1344"/>
      <c r="D361" s="475" t="s">
        <v>668</v>
      </c>
      <c r="E361" s="433">
        <v>165000</v>
      </c>
      <c r="F361" s="704">
        <f>1/30</f>
        <v>3.3333333333333333E-2</v>
      </c>
      <c r="G361" s="441">
        <f>+E361*F361</f>
        <v>5500</v>
      </c>
      <c r="H361" s="460"/>
    </row>
    <row r="362" spans="1:9" ht="15.75" thickBot="1">
      <c r="A362" s="436"/>
      <c r="B362" s="436"/>
      <c r="C362" s="436"/>
      <c r="D362" s="436"/>
      <c r="E362" s="436"/>
      <c r="F362" s="436"/>
      <c r="G362" s="437" t="s">
        <v>86</v>
      </c>
      <c r="H362" s="466">
        <f>SUM(G360:G361)</f>
        <v>5500</v>
      </c>
      <c r="I362" s="1075"/>
    </row>
    <row r="363" spans="1:9" ht="15.75" thickBot="1">
      <c r="A363" s="450" t="s">
        <v>96</v>
      </c>
      <c r="B363" s="450"/>
      <c r="C363" s="436"/>
      <c r="D363" s="436"/>
      <c r="E363" s="436"/>
      <c r="F363" s="436"/>
      <c r="G363" s="436"/>
      <c r="H363" s="436"/>
    </row>
    <row r="364" spans="1:9">
      <c r="A364" s="476" t="s">
        <v>97</v>
      </c>
      <c r="B364" s="438"/>
      <c r="C364" s="438" t="s">
        <v>98</v>
      </c>
      <c r="D364" s="438" t="s">
        <v>99</v>
      </c>
      <c r="E364" s="442" t="s">
        <v>100</v>
      </c>
      <c r="F364" s="443" t="s">
        <v>83</v>
      </c>
      <c r="G364" s="444" t="s">
        <v>84</v>
      </c>
      <c r="H364" s="477"/>
    </row>
    <row r="365" spans="1:9">
      <c r="A365" s="478" t="s">
        <v>227</v>
      </c>
      <c r="B365" s="542">
        <v>2</v>
      </c>
      <c r="C365" s="479">
        <f>PERSONAL!$E$31</f>
        <v>48800</v>
      </c>
      <c r="D365" s="480">
        <f>PERSONAL!$F$31</f>
        <v>1.7431000000000001</v>
      </c>
      <c r="E365" s="440">
        <f>+D365*C365*B365</f>
        <v>170126.56</v>
      </c>
      <c r="F365" s="686">
        <v>10</v>
      </c>
      <c r="G365" s="445">
        <f>ROUND(E365/F365,0)</f>
        <v>17013</v>
      </c>
      <c r="H365" s="451"/>
    </row>
    <row r="366" spans="1:9">
      <c r="A366" s="478" t="s">
        <v>101</v>
      </c>
      <c r="B366" s="498">
        <v>1</v>
      </c>
      <c r="C366" s="479">
        <f>PERSONAL!$E$32</f>
        <v>87200</v>
      </c>
      <c r="D366" s="480">
        <f>PERSONAL!$F$31</f>
        <v>1.7431000000000001</v>
      </c>
      <c r="E366" s="440">
        <f>+D366*C366*B366</f>
        <v>151998.32</v>
      </c>
      <c r="F366" s="686">
        <f>+F365</f>
        <v>10</v>
      </c>
      <c r="G366" s="445">
        <f>ROUND(E366/F366,0)</f>
        <v>15200</v>
      </c>
      <c r="H366" s="451"/>
    </row>
    <row r="367" spans="1:9">
      <c r="A367" s="478"/>
      <c r="B367" s="468"/>
      <c r="C367" s="430"/>
      <c r="D367" s="459"/>
      <c r="E367" s="430"/>
      <c r="F367" s="440"/>
      <c r="G367" s="445"/>
      <c r="H367" s="451"/>
    </row>
    <row r="368" spans="1:9">
      <c r="A368" s="478"/>
      <c r="B368" s="468"/>
      <c r="C368" s="430"/>
      <c r="D368" s="459"/>
      <c r="E368" s="430"/>
      <c r="F368" s="440"/>
      <c r="G368" s="445"/>
      <c r="H368" s="451"/>
      <c r="I368" s="701"/>
    </row>
    <row r="369" spans="1:9" ht="15.75" thickBot="1">
      <c r="A369" s="481"/>
      <c r="B369" s="474"/>
      <c r="C369" s="474"/>
      <c r="D369" s="474"/>
      <c r="E369" s="474"/>
      <c r="F369" s="474"/>
      <c r="G369" s="482"/>
      <c r="H369" s="482"/>
    </row>
    <row r="370" spans="1:9" ht="15.75" thickBot="1">
      <c r="A370" s="436"/>
      <c r="B370" s="436"/>
      <c r="C370" s="436"/>
      <c r="D370" s="436"/>
      <c r="E370" s="436"/>
      <c r="F370" s="436"/>
      <c r="G370" s="437" t="s">
        <v>86</v>
      </c>
      <c r="H370" s="466">
        <f>SUM(G365:G369)</f>
        <v>32213</v>
      </c>
      <c r="I370" s="701"/>
    </row>
    <row r="371" spans="1:9" ht="15.75" thickBot="1">
      <c r="A371" s="436"/>
      <c r="B371" s="436"/>
      <c r="C371" s="436"/>
      <c r="D371" s="436"/>
      <c r="E371" s="436"/>
      <c r="F371" s="436"/>
      <c r="G371" s="483"/>
      <c r="H371" s="436"/>
    </row>
    <row r="372" spans="1:9" ht="15.75" thickBot="1">
      <c r="A372" s="436"/>
      <c r="B372" s="436"/>
      <c r="C372" s="436"/>
      <c r="D372" s="436"/>
      <c r="E372" s="484" t="s">
        <v>102</v>
      </c>
      <c r="F372" s="485"/>
      <c r="G372" s="485"/>
      <c r="H372" s="466">
        <f>H346+H357+H362+H370</f>
        <v>114007.21984561048</v>
      </c>
      <c r="I372" s="683"/>
    </row>
    <row r="373" spans="1:9" ht="15.75" thickBot="1">
      <c r="A373" s="450" t="s">
        <v>103</v>
      </c>
      <c r="B373" s="450"/>
      <c r="C373" s="436"/>
      <c r="D373" s="436"/>
      <c r="E373" s="436"/>
      <c r="F373" s="436"/>
      <c r="G373" s="436"/>
      <c r="H373" s="436"/>
    </row>
    <row r="374" spans="1:9">
      <c r="A374" s="487" t="s">
        <v>80</v>
      </c>
      <c r="B374" s="488"/>
      <c r="C374" s="488"/>
      <c r="D374" s="488"/>
      <c r="E374" s="489"/>
      <c r="F374" s="490" t="s">
        <v>104</v>
      </c>
      <c r="G374" s="491" t="s">
        <v>105</v>
      </c>
      <c r="H374" s="457"/>
    </row>
    <row r="375" spans="1:9">
      <c r="A375" s="469" t="s">
        <v>106</v>
      </c>
      <c r="B375" s="467"/>
      <c r="C375" s="467"/>
      <c r="D375" s="467"/>
      <c r="E375" s="468"/>
      <c r="F375" s="492">
        <f>PRESUPUESTO!$E$222</f>
        <v>0.109</v>
      </c>
      <c r="G375" s="493">
        <f>+F375*H372</f>
        <v>12426.786963171542</v>
      </c>
      <c r="H375" s="460"/>
    </row>
    <row r="376" spans="1:9" ht="15.75" thickBot="1">
      <c r="A376" s="472" t="s">
        <v>108</v>
      </c>
      <c r="B376" s="473"/>
      <c r="C376" s="473"/>
      <c r="D376" s="473"/>
      <c r="E376" s="474"/>
      <c r="F376" s="494">
        <f>PRESUPUESTO!$E$223</f>
        <v>0.05</v>
      </c>
      <c r="G376" s="495">
        <f>+F376*H372</f>
        <v>5700.3609922805244</v>
      </c>
      <c r="H376" s="465"/>
    </row>
    <row r="377" spans="1:9" ht="15.75" thickBot="1">
      <c r="A377" s="436"/>
      <c r="B377" s="436"/>
      <c r="C377" s="436"/>
      <c r="D377" s="436"/>
      <c r="E377" s="436"/>
      <c r="F377" s="436"/>
      <c r="G377" s="437" t="s">
        <v>86</v>
      </c>
      <c r="H377" s="496">
        <f>SUM(G375:G376)</f>
        <v>18127.147955452067</v>
      </c>
    </row>
    <row r="378" spans="1:9" ht="15.75" thickBot="1">
      <c r="A378" s="436"/>
      <c r="B378" s="436"/>
      <c r="C378" s="436"/>
      <c r="D378" s="436"/>
      <c r="E378" s="436"/>
      <c r="F378" s="436"/>
      <c r="G378" s="436"/>
      <c r="H378" s="436"/>
    </row>
    <row r="379" spans="1:9" ht="15.75" thickBot="1">
      <c r="A379" s="446"/>
      <c r="B379" s="446"/>
      <c r="C379" s="436"/>
      <c r="D379" s="484" t="s">
        <v>109</v>
      </c>
      <c r="E379" s="485"/>
      <c r="F379" s="485"/>
      <c r="G379" s="485"/>
      <c r="H379" s="466">
        <f>ROUND((H372+H377),0)</f>
        <v>132134</v>
      </c>
    </row>
    <row r="380" spans="1:9" ht="15.75" thickBot="1">
      <c r="A380" s="436"/>
      <c r="B380" s="436"/>
      <c r="C380" s="436"/>
      <c r="D380" s="436"/>
      <c r="E380" s="436"/>
      <c r="F380" s="436"/>
      <c r="G380" s="436"/>
      <c r="H380" s="436"/>
    </row>
    <row r="381" spans="1:9">
      <c r="A381" s="1348" t="s">
        <v>213</v>
      </c>
      <c r="B381" s="1349"/>
      <c r="C381" s="1350"/>
      <c r="D381" s="448"/>
      <c r="E381" s="448"/>
      <c r="F381" s="448"/>
      <c r="G381" s="448"/>
      <c r="H381" s="449"/>
    </row>
    <row r="382" spans="1:9">
      <c r="A382" s="1351"/>
      <c r="B382" s="1352"/>
      <c r="C382" s="1353"/>
      <c r="D382" s="436"/>
      <c r="E382" s="450" t="s">
        <v>78</v>
      </c>
      <c r="F382" s="436"/>
      <c r="G382" s="436"/>
      <c r="H382" s="451"/>
    </row>
    <row r="383" spans="1:9" ht="15.75" thickBot="1">
      <c r="A383" s="1354"/>
      <c r="B383" s="1355"/>
      <c r="C383" s="1356"/>
      <c r="D383" s="1360"/>
      <c r="E383" s="1361"/>
      <c r="F383" s="1361"/>
      <c r="G383" s="1361"/>
      <c r="H383" s="1362"/>
    </row>
    <row r="384" spans="1:9">
      <c r="A384" s="455"/>
      <c r="B384" s="436"/>
      <c r="C384" s="436"/>
      <c r="D384" s="436"/>
      <c r="E384" s="436"/>
      <c r="F384" s="436"/>
      <c r="G384" s="436"/>
      <c r="H384" s="436"/>
    </row>
    <row r="385" spans="1:10" s="446" customFormat="1" ht="12.75">
      <c r="A385" s="455" t="s">
        <v>1146</v>
      </c>
      <c r="B385" s="456" t="str">
        <f>+PRESUPUESTO!$B$40</f>
        <v>CONCRETOS</v>
      </c>
      <c r="C385" s="436"/>
      <c r="E385" s="456"/>
      <c r="G385" s="456" t="s">
        <v>1123</v>
      </c>
      <c r="H385" s="483" t="str">
        <f>+PRESUPUESTO!A52</f>
        <v>3.2.3</v>
      </c>
      <c r="I385" s="436"/>
      <c r="J385" s="436"/>
    </row>
    <row r="386" spans="1:10" s="931" customFormat="1" ht="52.15" customHeight="1">
      <c r="A386" s="928" t="s">
        <v>1122</v>
      </c>
      <c r="B386" s="1374" t="str">
        <f>VLOOKUP(H385,PRESUPUESTO!$A$18:$F$251,2,FALSE)</f>
        <v>Grouting (concreto liquido) de 12.5 Mpa</v>
      </c>
      <c r="C386" s="1374"/>
      <c r="D386" s="1374"/>
      <c r="E386" s="1374"/>
      <c r="F386" s="1374"/>
      <c r="G386" s="929" t="s">
        <v>9</v>
      </c>
      <c r="H386" s="1024" t="str">
        <f>VLOOKUP(H385,PRESUPUESTO!$A$18:$F$251,3,FALSE)</f>
        <v>ml</v>
      </c>
    </row>
    <row r="387" spans="1:10">
      <c r="A387" s="456"/>
      <c r="B387" s="456"/>
      <c r="C387" s="436"/>
      <c r="D387" s="456"/>
      <c r="E387" s="456"/>
      <c r="F387" s="456"/>
      <c r="G387" s="456"/>
      <c r="H387" s="436"/>
    </row>
    <row r="388" spans="1:10" ht="15.75" thickBot="1">
      <c r="A388" s="450" t="s">
        <v>79</v>
      </c>
      <c r="B388" s="450"/>
      <c r="C388" s="436"/>
      <c r="D388" s="436"/>
      <c r="E388" s="436"/>
      <c r="F388" s="436"/>
      <c r="G388" s="436"/>
      <c r="H388" s="436"/>
    </row>
    <row r="389" spans="1:10">
      <c r="A389" s="1345" t="s">
        <v>80</v>
      </c>
      <c r="B389" s="1346"/>
      <c r="C389" s="1347"/>
      <c r="D389" s="438" t="s">
        <v>81</v>
      </c>
      <c r="E389" s="438" t="s">
        <v>82</v>
      </c>
      <c r="F389" s="438" t="s">
        <v>83</v>
      </c>
      <c r="G389" s="439" t="s">
        <v>84</v>
      </c>
      <c r="H389" s="457"/>
    </row>
    <row r="390" spans="1:10">
      <c r="A390" s="1357" t="s">
        <v>85</v>
      </c>
      <c r="B390" s="1358"/>
      <c r="C390" s="1359"/>
      <c r="D390" s="459"/>
      <c r="E390" s="440"/>
      <c r="F390" s="440"/>
      <c r="G390" s="432">
        <f>ROUND(H415*0.05,0)</f>
        <v>456</v>
      </c>
      <c r="H390" s="460"/>
    </row>
    <row r="391" spans="1:10">
      <c r="A391" s="1357"/>
      <c r="B391" s="1358"/>
      <c r="C391" s="1359"/>
      <c r="D391" s="461"/>
      <c r="E391" s="462"/>
      <c r="F391" s="497"/>
      <c r="G391" s="432">
        <f>E391*F391</f>
        <v>0</v>
      </c>
      <c r="H391" s="460"/>
    </row>
    <row r="392" spans="1:10" ht="15.75" thickBot="1">
      <c r="A392" s="1342"/>
      <c r="B392" s="1343"/>
      <c r="C392" s="1344"/>
      <c r="D392" s="464"/>
      <c r="E392" s="433"/>
      <c r="F392" s="434"/>
      <c r="G392" s="441">
        <f>E392*F392</f>
        <v>0</v>
      </c>
      <c r="H392" s="465"/>
    </row>
    <row r="393" spans="1:10" ht="15.75" thickBot="1">
      <c r="A393" s="436"/>
      <c r="B393" s="436"/>
      <c r="C393" s="436"/>
      <c r="D393" s="436"/>
      <c r="E393" s="436"/>
      <c r="F393" s="436"/>
      <c r="G393" s="437" t="s">
        <v>86</v>
      </c>
      <c r="H393" s="466">
        <f>SUM(G390:G392)</f>
        <v>456</v>
      </c>
    </row>
    <row r="394" spans="1:10" ht="15.75" thickBot="1">
      <c r="A394" s="450" t="s">
        <v>87</v>
      </c>
      <c r="B394" s="450"/>
      <c r="C394" s="436"/>
      <c r="D394" s="436"/>
      <c r="E394" s="436"/>
      <c r="F394" s="436"/>
      <c r="G394" s="436"/>
      <c r="H394" s="436"/>
    </row>
    <row r="395" spans="1:10">
      <c r="A395" s="1345" t="s">
        <v>80</v>
      </c>
      <c r="B395" s="1346"/>
      <c r="C395" s="1347"/>
      <c r="D395" s="438" t="s">
        <v>88</v>
      </c>
      <c r="E395" s="438" t="s">
        <v>89</v>
      </c>
      <c r="F395" s="438" t="s">
        <v>90</v>
      </c>
      <c r="G395" s="439" t="s">
        <v>84</v>
      </c>
      <c r="H395" s="457"/>
    </row>
    <row r="396" spans="1:10">
      <c r="A396" s="458" t="s">
        <v>615</v>
      </c>
      <c r="B396" s="467"/>
      <c r="C396" s="468"/>
      <c r="D396" s="459" t="s">
        <v>271</v>
      </c>
      <c r="E396" s="430">
        <f>MATERIALES!C14</f>
        <v>97161.12</v>
      </c>
      <c r="F396" s="686">
        <v>8.0000000000000002E-3</v>
      </c>
      <c r="G396" s="432">
        <f>E396*F396</f>
        <v>777.28895999999997</v>
      </c>
      <c r="H396" s="460"/>
    </row>
    <row r="397" spans="1:10">
      <c r="A397" s="469" t="s">
        <v>571</v>
      </c>
      <c r="B397" s="467"/>
      <c r="C397" s="468"/>
      <c r="D397" s="459" t="s">
        <v>271</v>
      </c>
      <c r="E397" s="430">
        <f>MATERIALES!C11</f>
        <v>37510</v>
      </c>
      <c r="F397" s="686">
        <f>5*0.0064</f>
        <v>3.2000000000000001E-2</v>
      </c>
      <c r="G397" s="432">
        <f>F397*E397</f>
        <v>1200.32</v>
      </c>
      <c r="H397" s="460"/>
    </row>
    <row r="398" spans="1:10">
      <c r="A398" s="469" t="s">
        <v>92</v>
      </c>
      <c r="B398" s="467"/>
      <c r="C398" s="468"/>
      <c r="D398" s="459" t="s">
        <v>220</v>
      </c>
      <c r="E398" s="430">
        <v>30</v>
      </c>
      <c r="F398" s="692">
        <f>130*0.0064</f>
        <v>0.83200000000000007</v>
      </c>
      <c r="G398" s="432">
        <f>ROUND(F398*E398,0)</f>
        <v>25</v>
      </c>
      <c r="H398" s="460"/>
    </row>
    <row r="399" spans="1:10">
      <c r="A399" s="469" t="s">
        <v>93</v>
      </c>
      <c r="B399" s="467"/>
      <c r="C399" s="471">
        <v>0.05</v>
      </c>
      <c r="D399" s="459"/>
      <c r="F399" s="431"/>
      <c r="G399" s="432">
        <f>SUM(G396:G398)*C399</f>
        <v>100.130448</v>
      </c>
      <c r="H399" s="460"/>
    </row>
    <row r="400" spans="1:10">
      <c r="A400" s="469"/>
      <c r="B400" s="467"/>
      <c r="C400" s="468"/>
      <c r="D400" s="459"/>
      <c r="E400" s="430"/>
      <c r="F400" s="431"/>
      <c r="G400" s="432"/>
      <c r="H400" s="460">
        <f>0.8*0.8</f>
        <v>0.64000000000000012</v>
      </c>
    </row>
    <row r="401" spans="1:8" ht="15.75" thickBot="1">
      <c r="A401" s="472"/>
      <c r="B401" s="473"/>
      <c r="C401" s="474"/>
      <c r="D401" s="464"/>
      <c r="E401" s="433"/>
      <c r="F401" s="434"/>
      <c r="G401" s="435"/>
      <c r="H401" s="465"/>
    </row>
    <row r="402" spans="1:8" ht="15.75" thickBot="1">
      <c r="A402" s="436"/>
      <c r="B402" s="436"/>
      <c r="C402" s="436"/>
      <c r="D402" s="436"/>
      <c r="E402" s="436"/>
      <c r="F402" s="436"/>
      <c r="G402" s="437" t="s">
        <v>86</v>
      </c>
      <c r="H402" s="466">
        <f>SUM(G396:G401)</f>
        <v>2102.7394079999999</v>
      </c>
    </row>
    <row r="403" spans="1:8" ht="15.75" thickBot="1">
      <c r="A403" s="450" t="s">
        <v>94</v>
      </c>
      <c r="B403" s="450"/>
      <c r="C403" s="436"/>
      <c r="D403" s="436"/>
      <c r="E403" s="436"/>
      <c r="F403" s="436"/>
      <c r="G403" s="436"/>
      <c r="H403" s="436"/>
    </row>
    <row r="404" spans="1:8">
      <c r="A404" s="1345" t="s">
        <v>95</v>
      </c>
      <c r="B404" s="1346"/>
      <c r="C404" s="1347"/>
      <c r="D404" s="438" t="s">
        <v>88</v>
      </c>
      <c r="E404" s="438" t="s">
        <v>89</v>
      </c>
      <c r="F404" s="438" t="s">
        <v>90</v>
      </c>
      <c r="G404" s="439" t="s">
        <v>84</v>
      </c>
      <c r="H404" s="457"/>
    </row>
    <row r="405" spans="1:8">
      <c r="A405" s="458" t="s">
        <v>235</v>
      </c>
      <c r="B405" s="467"/>
      <c r="C405" s="468"/>
      <c r="D405" s="459" t="s">
        <v>91</v>
      </c>
      <c r="E405" s="674">
        <v>14500</v>
      </c>
      <c r="F405" s="686">
        <v>6.4000000000000003E-3</v>
      </c>
      <c r="G405" s="432">
        <f>E405*F405</f>
        <v>92.800000000000011</v>
      </c>
      <c r="H405" s="460"/>
    </row>
    <row r="406" spans="1:8" ht="15.75" thickBot="1">
      <c r="A406" s="1342" t="s">
        <v>673</v>
      </c>
      <c r="B406" s="1343"/>
      <c r="C406" s="1344"/>
      <c r="D406" s="475" t="s">
        <v>668</v>
      </c>
      <c r="E406" s="433">
        <v>165000</v>
      </c>
      <c r="F406" s="434">
        <f>1/50</f>
        <v>0.02</v>
      </c>
      <c r="G406" s="705">
        <v>1000</v>
      </c>
      <c r="H406" s="460"/>
    </row>
    <row r="407" spans="1:8" ht="15.75" thickBot="1">
      <c r="A407" s="436"/>
      <c r="B407" s="436"/>
      <c r="C407" s="436"/>
      <c r="D407" s="436"/>
      <c r="E407" s="436"/>
      <c r="F407" s="436"/>
      <c r="G407" s="437" t="s">
        <v>86</v>
      </c>
      <c r="H407" s="466">
        <f>SUM(G405:G406)</f>
        <v>1092.8</v>
      </c>
    </row>
    <row r="408" spans="1:8" ht="15.75" thickBot="1">
      <c r="A408" s="450" t="s">
        <v>96</v>
      </c>
      <c r="B408" s="450"/>
      <c r="C408" s="436"/>
      <c r="D408" s="436"/>
      <c r="E408" s="436"/>
      <c r="F408" s="436"/>
      <c r="G408" s="436"/>
      <c r="H408" s="436"/>
    </row>
    <row r="409" spans="1:8">
      <c r="A409" s="476" t="s">
        <v>97</v>
      </c>
      <c r="B409" s="438"/>
      <c r="C409" s="438" t="s">
        <v>98</v>
      </c>
      <c r="D409" s="438" t="s">
        <v>99</v>
      </c>
      <c r="E409" s="442" t="s">
        <v>100</v>
      </c>
      <c r="F409" s="443" t="s">
        <v>83</v>
      </c>
      <c r="G409" s="444" t="s">
        <v>84</v>
      </c>
      <c r="H409" s="477"/>
    </row>
    <row r="410" spans="1:8">
      <c r="A410" s="478" t="s">
        <v>227</v>
      </c>
      <c r="B410" s="700">
        <v>1</v>
      </c>
      <c r="C410" s="479">
        <f>PERSONAL!$E$31</f>
        <v>48800</v>
      </c>
      <c r="D410" s="480">
        <f>PERSONAL!$F$31</f>
        <v>1.7431000000000001</v>
      </c>
      <c r="E410" s="440">
        <f>+D410*C410*B410</f>
        <v>85063.28</v>
      </c>
      <c r="F410" s="440">
        <v>26</v>
      </c>
      <c r="G410" s="445">
        <f>ROUND(E410/F410,0)</f>
        <v>3272</v>
      </c>
      <c r="H410" s="451"/>
    </row>
    <row r="411" spans="1:8">
      <c r="A411" s="478" t="s">
        <v>101</v>
      </c>
      <c r="B411" s="498">
        <v>1</v>
      </c>
      <c r="C411" s="479">
        <f>PERSONAL!$E$32</f>
        <v>87200</v>
      </c>
      <c r="D411" s="480">
        <f>PERSONAL!$F$31</f>
        <v>1.7431000000000001</v>
      </c>
      <c r="E411" s="440">
        <f>+D411*C411*B411</f>
        <v>151998.32</v>
      </c>
      <c r="F411" s="440">
        <f>+F410</f>
        <v>26</v>
      </c>
      <c r="G411" s="445">
        <f>ROUND(E411/F411,0)</f>
        <v>5846</v>
      </c>
      <c r="H411" s="451"/>
    </row>
    <row r="412" spans="1:8">
      <c r="A412" s="478"/>
      <c r="B412" s="468"/>
      <c r="C412" s="430"/>
      <c r="D412" s="459"/>
      <c r="E412" s="430"/>
      <c r="F412" s="440"/>
      <c r="G412" s="445"/>
      <c r="H412" s="451"/>
    </row>
    <row r="413" spans="1:8">
      <c r="A413" s="478"/>
      <c r="B413" s="468"/>
      <c r="C413" s="430"/>
      <c r="D413" s="459"/>
      <c r="E413" s="430"/>
      <c r="F413" s="440"/>
      <c r="G413" s="445"/>
      <c r="H413" s="451"/>
    </row>
    <row r="414" spans="1:8" ht="15.75" thickBot="1">
      <c r="A414" s="481"/>
      <c r="B414" s="474"/>
      <c r="C414" s="474"/>
      <c r="D414" s="474"/>
      <c r="E414" s="474"/>
      <c r="F414" s="474"/>
      <c r="G414" s="482"/>
      <c r="H414" s="482"/>
    </row>
    <row r="415" spans="1:8" ht="15.75" thickBot="1">
      <c r="A415" s="436"/>
      <c r="B415" s="436"/>
      <c r="C415" s="436"/>
      <c r="D415" s="436"/>
      <c r="E415" s="436"/>
      <c r="F415" s="436"/>
      <c r="G415" s="437" t="s">
        <v>86</v>
      </c>
      <c r="H415" s="466">
        <f>SUM(G410:G414)</f>
        <v>9118</v>
      </c>
    </row>
    <row r="416" spans="1:8" ht="15.75" thickBot="1">
      <c r="A416" s="436"/>
      <c r="B416" s="436"/>
      <c r="C416" s="436"/>
      <c r="D416" s="436"/>
      <c r="E416" s="436"/>
      <c r="F416" s="436"/>
      <c r="G416" s="483"/>
      <c r="H416" s="436"/>
    </row>
    <row r="417" spans="1:10" ht="15.75" thickBot="1">
      <c r="A417" s="436"/>
      <c r="B417" s="436"/>
      <c r="C417" s="436"/>
      <c r="D417" s="436"/>
      <c r="E417" s="484" t="s">
        <v>102</v>
      </c>
      <c r="F417" s="485"/>
      <c r="G417" s="485"/>
      <c r="H417" s="466">
        <f>H393+H402+H407+H415</f>
        <v>12769.539408000001</v>
      </c>
    </row>
    <row r="418" spans="1:10" ht="15.75" thickBot="1">
      <c r="A418" s="450" t="s">
        <v>103</v>
      </c>
      <c r="B418" s="450"/>
      <c r="C418" s="436"/>
      <c r="D418" s="436"/>
      <c r="E418" s="436"/>
      <c r="F418" s="436"/>
      <c r="G418" s="436"/>
      <c r="H418" s="436"/>
    </row>
    <row r="419" spans="1:10">
      <c r="A419" s="487" t="s">
        <v>80</v>
      </c>
      <c r="B419" s="488"/>
      <c r="C419" s="488"/>
      <c r="D419" s="488"/>
      <c r="E419" s="489"/>
      <c r="F419" s="490" t="s">
        <v>104</v>
      </c>
      <c r="G419" s="491" t="s">
        <v>105</v>
      </c>
      <c r="H419" s="457"/>
    </row>
    <row r="420" spans="1:10">
      <c r="A420" s="469" t="s">
        <v>106</v>
      </c>
      <c r="B420" s="467"/>
      <c r="C420" s="467"/>
      <c r="D420" s="467"/>
      <c r="E420" s="468"/>
      <c r="F420" s="492">
        <f>PRESUPUESTO!$E$222</f>
        <v>0.109</v>
      </c>
      <c r="G420" s="493">
        <f>+F420*H417</f>
        <v>1391.8797954720001</v>
      </c>
      <c r="H420" s="460"/>
    </row>
    <row r="421" spans="1:10" ht="15.75" thickBot="1">
      <c r="A421" s="472" t="s">
        <v>108</v>
      </c>
      <c r="B421" s="473"/>
      <c r="C421" s="473"/>
      <c r="D421" s="473"/>
      <c r="E421" s="474"/>
      <c r="F421" s="494">
        <f>PRESUPUESTO!$E$223</f>
        <v>0.05</v>
      </c>
      <c r="G421" s="495">
        <f>+F421*H417</f>
        <v>638.47697040000003</v>
      </c>
      <c r="H421" s="465"/>
    </row>
    <row r="422" spans="1:10" ht="15.75" thickBot="1">
      <c r="A422" s="436"/>
      <c r="B422" s="436"/>
      <c r="C422" s="436"/>
      <c r="D422" s="436"/>
      <c r="E422" s="436"/>
      <c r="F422" s="436"/>
      <c r="G422" s="437" t="s">
        <v>86</v>
      </c>
      <c r="H422" s="496">
        <f>SUM(G420:G421)</f>
        <v>2030.3567658720001</v>
      </c>
    </row>
    <row r="423" spans="1:10" ht="15.75" thickBot="1">
      <c r="A423" s="436"/>
      <c r="B423" s="436"/>
      <c r="C423" s="436"/>
      <c r="D423" s="436"/>
      <c r="E423" s="436"/>
      <c r="F423" s="436"/>
      <c r="G423" s="436"/>
      <c r="H423" s="436"/>
    </row>
    <row r="424" spans="1:10" ht="15.75" thickBot="1">
      <c r="A424" s="446"/>
      <c r="B424" s="446"/>
      <c r="C424" s="436"/>
      <c r="D424" s="484" t="s">
        <v>109</v>
      </c>
      <c r="E424" s="485"/>
      <c r="F424" s="485"/>
      <c r="G424" s="485"/>
      <c r="H424" s="466">
        <f>ROUND((H417+H422),0)</f>
        <v>14800</v>
      </c>
    </row>
    <row r="425" spans="1:10">
      <c r="A425" s="446"/>
      <c r="B425" s="446"/>
      <c r="C425" s="446"/>
      <c r="D425" s="446"/>
      <c r="E425" s="446"/>
      <c r="F425" s="446"/>
      <c r="G425" s="446"/>
      <c r="H425" s="446"/>
    </row>
    <row r="426" spans="1:10">
      <c r="A426" s="186" t="s">
        <v>77</v>
      </c>
      <c r="B426" s="446"/>
      <c r="C426" s="446"/>
      <c r="D426" s="446"/>
      <c r="E426" s="446"/>
      <c r="F426" s="446"/>
      <c r="G426" s="446"/>
      <c r="H426" s="446"/>
    </row>
    <row r="427" spans="1:10" ht="15.75" thickBot="1">
      <c r="A427" s="446"/>
      <c r="B427" s="446"/>
      <c r="C427" s="446"/>
      <c r="D427" s="446"/>
      <c r="E427" s="446"/>
      <c r="F427" s="446"/>
      <c r="G427" s="446"/>
      <c r="H427" s="446"/>
    </row>
    <row r="428" spans="1:10">
      <c r="A428" s="1348" t="s">
        <v>213</v>
      </c>
      <c r="B428" s="1349"/>
      <c r="C428" s="1350"/>
      <c r="D428" s="448"/>
      <c r="E428" s="448"/>
      <c r="F428" s="448"/>
      <c r="G428" s="448"/>
      <c r="H428" s="449"/>
    </row>
    <row r="429" spans="1:10">
      <c r="A429" s="1351"/>
      <c r="B429" s="1352"/>
      <c r="C429" s="1353"/>
      <c r="D429" s="436"/>
      <c r="E429" s="450" t="s">
        <v>78</v>
      </c>
      <c r="F429" s="436"/>
      <c r="G429" s="436"/>
      <c r="H429" s="451"/>
    </row>
    <row r="430" spans="1:10" ht="15.75" thickBot="1">
      <c r="A430" s="1354"/>
      <c r="B430" s="1355"/>
      <c r="C430" s="1356"/>
      <c r="D430" s="1360"/>
      <c r="E430" s="1361"/>
      <c r="F430" s="1361"/>
      <c r="G430" s="1361"/>
      <c r="H430" s="1362"/>
    </row>
    <row r="431" spans="1:10">
      <c r="A431" s="455"/>
      <c r="B431" s="436"/>
      <c r="C431" s="436"/>
      <c r="D431" s="436"/>
      <c r="E431" s="436"/>
      <c r="F431" s="436"/>
      <c r="G431" s="436"/>
      <c r="H431" s="436"/>
    </row>
    <row r="432" spans="1:10" s="446" customFormat="1" ht="12.75">
      <c r="A432" s="455" t="s">
        <v>1146</v>
      </c>
      <c r="B432" s="456" t="str">
        <f>+PRESUPUESTO!$B$40</f>
        <v>CONCRETOS</v>
      </c>
      <c r="C432" s="436"/>
      <c r="E432" s="456"/>
      <c r="G432" s="456" t="s">
        <v>1123</v>
      </c>
      <c r="H432" s="483" t="str">
        <f>+PRESUPUESTO!A53</f>
        <v>3.2.4</v>
      </c>
      <c r="I432" s="436"/>
      <c r="J432" s="436"/>
    </row>
    <row r="433" spans="1:8" s="931" customFormat="1" ht="52.15" customHeight="1">
      <c r="A433" s="928" t="s">
        <v>1122</v>
      </c>
      <c r="B433" s="1374" t="str">
        <f>VLOOKUP(H432,PRESUPUESTO!$A$18:$F$251,2,FALSE)</f>
        <v>Suministro, transporte e instalación de Bordillos prefabricados 35x80x15cm. Incluye: Excavación, nivelación e instalación.</v>
      </c>
      <c r="C433" s="1374"/>
      <c r="D433" s="1374"/>
      <c r="E433" s="1374"/>
      <c r="F433" s="1374"/>
      <c r="G433" s="929" t="s">
        <v>9</v>
      </c>
      <c r="H433" s="1024" t="str">
        <f>VLOOKUP(H432,PRESUPUESTO!$A$18:$F$251,3,FALSE)</f>
        <v>ml</v>
      </c>
    </row>
    <row r="434" spans="1:8">
      <c r="A434" s="456"/>
      <c r="B434" s="456"/>
      <c r="C434" s="436"/>
      <c r="D434" s="456"/>
      <c r="E434" s="456"/>
      <c r="F434" s="456"/>
      <c r="G434" s="456"/>
      <c r="H434" s="436"/>
    </row>
    <row r="435" spans="1:8" ht="15.75" thickBot="1">
      <c r="A435" s="450" t="s">
        <v>79</v>
      </c>
      <c r="B435" s="450"/>
      <c r="C435" s="436"/>
      <c r="D435" s="436"/>
      <c r="E435" s="436"/>
      <c r="F435" s="436"/>
      <c r="G435" s="436"/>
      <c r="H435" s="436"/>
    </row>
    <row r="436" spans="1:8">
      <c r="A436" s="1345" t="s">
        <v>80</v>
      </c>
      <c r="B436" s="1346"/>
      <c r="C436" s="1347"/>
      <c r="D436" s="438" t="s">
        <v>81</v>
      </c>
      <c r="E436" s="438" t="s">
        <v>82</v>
      </c>
      <c r="F436" s="438" t="s">
        <v>83</v>
      </c>
      <c r="G436" s="439" t="s">
        <v>84</v>
      </c>
      <c r="H436" s="457"/>
    </row>
    <row r="437" spans="1:8">
      <c r="A437" s="1357" t="s">
        <v>85</v>
      </c>
      <c r="B437" s="1358"/>
      <c r="C437" s="1359"/>
      <c r="D437" s="459"/>
      <c r="E437" s="440"/>
      <c r="F437" s="440"/>
      <c r="G437" s="432">
        <f>ROUND(H463*0.05,0)</f>
        <v>1185</v>
      </c>
      <c r="H437" s="460"/>
    </row>
    <row r="438" spans="1:8" ht="16.149999999999999" customHeight="1">
      <c r="A438" s="1357" t="s">
        <v>675</v>
      </c>
      <c r="B438" s="1358"/>
      <c r="C438" s="1359"/>
      <c r="D438" s="461"/>
      <c r="E438" s="462">
        <f>13605*1.19</f>
        <v>16189.949999999999</v>
      </c>
      <c r="F438" s="497">
        <f>1/15</f>
        <v>6.6666666666666666E-2</v>
      </c>
      <c r="G438" s="432">
        <f>E438*F438</f>
        <v>1079.33</v>
      </c>
      <c r="H438" s="460"/>
    </row>
    <row r="439" spans="1:8">
      <c r="A439" s="1357" t="s">
        <v>677</v>
      </c>
      <c r="B439" s="1358"/>
      <c r="C439" s="1359"/>
      <c r="D439" s="461"/>
      <c r="E439" s="462">
        <f>400*1.19</f>
        <v>476</v>
      </c>
      <c r="F439" s="497">
        <f>+F438*30</f>
        <v>2</v>
      </c>
      <c r="G439" s="432">
        <f>E439*F439</f>
        <v>952</v>
      </c>
      <c r="H439" s="460"/>
    </row>
    <row r="440" spans="1:8" ht="15.75" thickBot="1">
      <c r="A440" s="1357" t="s">
        <v>676</v>
      </c>
      <c r="B440" s="1358"/>
      <c r="C440" s="1359"/>
      <c r="D440" s="461"/>
      <c r="E440" s="462">
        <v>55900</v>
      </c>
      <c r="F440" s="497">
        <f>+F438/5</f>
        <v>1.3333333333333332E-2</v>
      </c>
      <c r="G440" s="432">
        <f>E440*F440</f>
        <v>745.33333333333326</v>
      </c>
      <c r="H440" s="460"/>
    </row>
    <row r="441" spans="1:8" ht="15.75" thickBot="1">
      <c r="A441" s="436"/>
      <c r="B441" s="436"/>
      <c r="C441" s="436"/>
      <c r="D441" s="436"/>
      <c r="E441" s="436"/>
      <c r="F441" s="436"/>
      <c r="G441" s="437" t="s">
        <v>86</v>
      </c>
      <c r="H441" s="466">
        <f>SUM(G437:G440)</f>
        <v>3961.663333333333</v>
      </c>
    </row>
    <row r="442" spans="1:8" ht="15.75" thickBot="1">
      <c r="A442" s="450" t="s">
        <v>87</v>
      </c>
      <c r="B442" s="450"/>
      <c r="C442" s="436"/>
      <c r="D442" s="436"/>
      <c r="E442" s="436"/>
      <c r="F442" s="436"/>
      <c r="G442" s="436"/>
      <c r="H442" s="436"/>
    </row>
    <row r="443" spans="1:8">
      <c r="A443" s="1345" t="s">
        <v>80</v>
      </c>
      <c r="B443" s="1346"/>
      <c r="C443" s="1347"/>
      <c r="D443" s="438" t="s">
        <v>88</v>
      </c>
      <c r="E443" s="438" t="s">
        <v>89</v>
      </c>
      <c r="F443" s="438" t="s">
        <v>90</v>
      </c>
      <c r="G443" s="439" t="s">
        <v>84</v>
      </c>
      <c r="H443" s="457"/>
    </row>
    <row r="444" spans="1:8">
      <c r="A444" s="458" t="s">
        <v>616</v>
      </c>
      <c r="B444" s="467"/>
      <c r="C444" s="468"/>
      <c r="D444" s="459" t="s">
        <v>271</v>
      </c>
      <c r="E444" s="430">
        <f>42100*1.19</f>
        <v>50099</v>
      </c>
      <c r="F444" s="440">
        <f>1/0.8</f>
        <v>1.25</v>
      </c>
      <c r="G444" s="432">
        <f>E444*F444</f>
        <v>62623.75</v>
      </c>
      <c r="H444" s="460"/>
    </row>
    <row r="445" spans="1:8">
      <c r="A445" s="469" t="s">
        <v>617</v>
      </c>
      <c r="B445" s="467"/>
      <c r="C445" s="468"/>
      <c r="D445" s="459" t="s">
        <v>618</v>
      </c>
      <c r="E445" s="430">
        <f>APA!H38</f>
        <v>515738.39333333331</v>
      </c>
      <c r="F445" s="998">
        <f>0.8*0.35*0.03*F444+0.2*0.05</f>
        <v>2.0500000000000001E-2</v>
      </c>
      <c r="G445" s="432">
        <f>F445*E445</f>
        <v>10572.637063333334</v>
      </c>
      <c r="H445" s="460"/>
    </row>
    <row r="446" spans="1:8">
      <c r="A446" s="469" t="s">
        <v>93</v>
      </c>
      <c r="B446" s="467"/>
      <c r="C446" s="471">
        <v>0.05</v>
      </c>
      <c r="D446" s="459"/>
      <c r="F446" s="431"/>
      <c r="G446" s="432">
        <f>SUM(G443:G445)*C446</f>
        <v>3659.8193531666666</v>
      </c>
      <c r="H446" s="460"/>
    </row>
    <row r="447" spans="1:8">
      <c r="A447" s="469"/>
      <c r="B447" s="467"/>
      <c r="C447" s="468"/>
      <c r="D447" s="459"/>
      <c r="E447" s="430"/>
      <c r="F447" s="431"/>
      <c r="G447" s="432"/>
      <c r="H447" s="460"/>
    </row>
    <row r="448" spans="1:8">
      <c r="A448" s="469"/>
      <c r="B448" s="467"/>
      <c r="C448" s="468"/>
      <c r="D448" s="459"/>
      <c r="E448" s="430"/>
      <c r="F448" s="431"/>
      <c r="G448" s="432"/>
      <c r="H448" s="460"/>
    </row>
    <row r="449" spans="1:9" ht="15.75" thickBot="1">
      <c r="A449" s="472"/>
      <c r="B449" s="473"/>
      <c r="C449" s="474"/>
      <c r="D449" s="464"/>
      <c r="E449" s="433"/>
      <c r="F449" s="434"/>
      <c r="G449" s="435"/>
      <c r="H449" s="465"/>
    </row>
    <row r="450" spans="1:9" ht="15.75" thickBot="1">
      <c r="A450" s="436"/>
      <c r="B450" s="436"/>
      <c r="C450" s="436"/>
      <c r="D450" s="436"/>
      <c r="E450" s="436"/>
      <c r="F450" s="436"/>
      <c r="G450" s="437" t="s">
        <v>86</v>
      </c>
      <c r="H450" s="466">
        <f>SUM(G444:G449)</f>
        <v>76856.20641649999</v>
      </c>
    </row>
    <row r="451" spans="1:9" ht="15.75" thickBot="1">
      <c r="A451" s="450" t="s">
        <v>94</v>
      </c>
      <c r="B451" s="450"/>
      <c r="C451" s="436"/>
      <c r="D451" s="436"/>
      <c r="E451" s="436"/>
      <c r="F451" s="436"/>
      <c r="G451" s="436"/>
      <c r="H451" s="436"/>
    </row>
    <row r="452" spans="1:9">
      <c r="A452" s="1345" t="s">
        <v>95</v>
      </c>
      <c r="B452" s="1346"/>
      <c r="C452" s="1347"/>
      <c r="D452" s="438" t="s">
        <v>88</v>
      </c>
      <c r="E452" s="438" t="s">
        <v>89</v>
      </c>
      <c r="F452" s="438" t="s">
        <v>90</v>
      </c>
      <c r="G452" s="439" t="s">
        <v>84</v>
      </c>
      <c r="H452" s="457"/>
    </row>
    <row r="453" spans="1:9">
      <c r="A453" s="458" t="s">
        <v>235</v>
      </c>
      <c r="B453" s="467"/>
      <c r="C453" s="468"/>
      <c r="D453" s="459" t="s">
        <v>268</v>
      </c>
      <c r="E453" s="1013">
        <v>3500</v>
      </c>
      <c r="F453" s="440">
        <f>+F444</f>
        <v>1.25</v>
      </c>
      <c r="G453" s="706">
        <f>+E453*F453</f>
        <v>4375</v>
      </c>
      <c r="H453" s="460"/>
    </row>
    <row r="454" spans="1:9" ht="15.75" thickBot="1">
      <c r="A454" s="1342" t="s">
        <v>673</v>
      </c>
      <c r="B454" s="1343"/>
      <c r="C454" s="1344"/>
      <c r="D454" s="475" t="s">
        <v>668</v>
      </c>
      <c r="E454" s="433">
        <v>165000</v>
      </c>
      <c r="F454" s="434">
        <f>1/35</f>
        <v>2.8571428571428571E-2</v>
      </c>
      <c r="G454" s="705">
        <f>+E454*F454</f>
        <v>4714.2857142857138</v>
      </c>
      <c r="H454" s="460"/>
    </row>
    <row r="455" spans="1:9" ht="15.75" thickBot="1">
      <c r="A455" s="436"/>
      <c r="B455" s="436"/>
      <c r="C455" s="436"/>
      <c r="D455" s="436"/>
      <c r="E455" s="436"/>
      <c r="F455" s="436"/>
      <c r="G455" s="437" t="s">
        <v>86</v>
      </c>
      <c r="H455" s="466">
        <f>SUM(G453:G454)</f>
        <v>9089.2857142857138</v>
      </c>
    </row>
    <row r="456" spans="1:9" ht="15.75" thickBot="1">
      <c r="A456" s="450" t="s">
        <v>96</v>
      </c>
      <c r="B456" s="450"/>
      <c r="C456" s="436"/>
      <c r="D456" s="436"/>
      <c r="E456" s="436"/>
      <c r="F456" s="436"/>
      <c r="G456" s="436"/>
      <c r="H456" s="436"/>
    </row>
    <row r="457" spans="1:9">
      <c r="A457" s="476" t="s">
        <v>97</v>
      </c>
      <c r="B457" s="438"/>
      <c r="C457" s="438" t="s">
        <v>98</v>
      </c>
      <c r="D457" s="438" t="s">
        <v>99</v>
      </c>
      <c r="E457" s="442" t="s">
        <v>100</v>
      </c>
      <c r="F457" s="443" t="s">
        <v>83</v>
      </c>
      <c r="G457" s="444" t="s">
        <v>84</v>
      </c>
      <c r="H457" s="477"/>
    </row>
    <row r="458" spans="1:9">
      <c r="A458" s="478" t="s">
        <v>227</v>
      </c>
      <c r="B458" s="700">
        <v>1</v>
      </c>
      <c r="C458" s="479">
        <f>PERSONAL!$E$31</f>
        <v>48800</v>
      </c>
      <c r="D458" s="480">
        <f>PERSONAL!$F$31</f>
        <v>1.7431000000000001</v>
      </c>
      <c r="E458" s="440">
        <f>+D458*C458*B458</f>
        <v>85063.28</v>
      </c>
      <c r="F458" s="686">
        <v>10</v>
      </c>
      <c r="G458" s="445">
        <f>ROUND(E458/F458,0)</f>
        <v>8506</v>
      </c>
      <c r="H458" s="451"/>
    </row>
    <row r="459" spans="1:9">
      <c r="A459" s="478" t="s">
        <v>101</v>
      </c>
      <c r="B459" s="498">
        <v>1</v>
      </c>
      <c r="C459" s="479">
        <f>+PERSONAL!E32</f>
        <v>87200</v>
      </c>
      <c r="D459" s="480">
        <f>PERSONAL!$F$31</f>
        <v>1.7431000000000001</v>
      </c>
      <c r="E459" s="440">
        <f>+D459*C459*B459</f>
        <v>151998.32</v>
      </c>
      <c r="F459" s="686">
        <f>+F458</f>
        <v>10</v>
      </c>
      <c r="G459" s="445">
        <f>ROUND(E459/F459,0)</f>
        <v>15200</v>
      </c>
      <c r="H459" s="451"/>
    </row>
    <row r="460" spans="1:9">
      <c r="A460" s="478"/>
      <c r="B460" s="468"/>
      <c r="C460" s="430"/>
      <c r="D460" s="459"/>
      <c r="E460" s="430"/>
      <c r="F460" s="440"/>
      <c r="G460" s="445"/>
      <c r="H460" s="451"/>
    </row>
    <row r="461" spans="1:9">
      <c r="A461" s="478"/>
      <c r="B461" s="468"/>
      <c r="C461" s="430"/>
      <c r="D461" s="459"/>
      <c r="E461" s="430"/>
      <c r="F461" s="440"/>
      <c r="G461" s="445"/>
      <c r="H461" s="451"/>
    </row>
    <row r="462" spans="1:9" ht="15.75" thickBot="1">
      <c r="A462" s="481"/>
      <c r="B462" s="474"/>
      <c r="C462" s="474"/>
      <c r="D462" s="474"/>
      <c r="E462" s="474"/>
      <c r="F462" s="474"/>
      <c r="G462" s="482"/>
      <c r="H462" s="482"/>
    </row>
    <row r="463" spans="1:9" ht="15.75" thickBot="1">
      <c r="A463" s="436"/>
      <c r="B463" s="436"/>
      <c r="C463" s="436"/>
      <c r="D463" s="436"/>
      <c r="E463" s="436"/>
      <c r="F463" s="436"/>
      <c r="G463" s="437" t="s">
        <v>86</v>
      </c>
      <c r="H463" s="466">
        <f>SUM(G458:G462)</f>
        <v>23706</v>
      </c>
      <c r="I463" s="1089">
        <f>+H463/H465</f>
        <v>0.20865541409495275</v>
      </c>
    </row>
    <row r="464" spans="1:9" ht="15.75" thickBot="1">
      <c r="A464" s="436"/>
      <c r="B464" s="436"/>
      <c r="C464" s="436"/>
      <c r="D464" s="436"/>
      <c r="E464" s="436"/>
      <c r="F464" s="436"/>
      <c r="G464" s="483"/>
      <c r="H464" s="436"/>
    </row>
    <row r="465" spans="1:8" ht="15.75" thickBot="1">
      <c r="A465" s="436"/>
      <c r="B465" s="436"/>
      <c r="C465" s="436"/>
      <c r="D465" s="436"/>
      <c r="E465" s="484" t="s">
        <v>102</v>
      </c>
      <c r="F465" s="485"/>
      <c r="G465" s="485"/>
      <c r="H465" s="466">
        <f>H441+H450+H455+H463</f>
        <v>113613.15546411903</v>
      </c>
    </row>
    <row r="466" spans="1:8" ht="15.75" thickBot="1">
      <c r="A466" s="450" t="s">
        <v>103</v>
      </c>
      <c r="B466" s="450"/>
      <c r="C466" s="436"/>
      <c r="D466" s="436"/>
      <c r="E466" s="436"/>
      <c r="F466" s="436"/>
      <c r="G466" s="436"/>
      <c r="H466" s="436"/>
    </row>
    <row r="467" spans="1:8">
      <c r="A467" s="487" t="s">
        <v>80</v>
      </c>
      <c r="B467" s="488"/>
      <c r="C467" s="488"/>
      <c r="D467" s="488"/>
      <c r="E467" s="489"/>
      <c r="F467" s="490" t="s">
        <v>104</v>
      </c>
      <c r="G467" s="491" t="s">
        <v>105</v>
      </c>
      <c r="H467" s="457"/>
    </row>
    <row r="468" spans="1:8">
      <c r="A468" s="469" t="s">
        <v>106</v>
      </c>
      <c r="B468" s="467"/>
      <c r="C468" s="467"/>
      <c r="D468" s="467"/>
      <c r="E468" s="468"/>
      <c r="F468" s="492">
        <f>PRESUPUESTO!$E$222</f>
        <v>0.109</v>
      </c>
      <c r="G468" s="493">
        <f>+F468*H465</f>
        <v>12383.833945588975</v>
      </c>
      <c r="H468" s="460"/>
    </row>
    <row r="469" spans="1:8" ht="15.75" thickBot="1">
      <c r="A469" s="472" t="s">
        <v>108</v>
      </c>
      <c r="B469" s="473"/>
      <c r="C469" s="473"/>
      <c r="D469" s="473"/>
      <c r="E469" s="474"/>
      <c r="F469" s="494">
        <f>PRESUPUESTO!$E$223</f>
        <v>0.05</v>
      </c>
      <c r="G469" s="495">
        <f>+F469*H465</f>
        <v>5680.6577732059523</v>
      </c>
      <c r="H469" s="465"/>
    </row>
    <row r="470" spans="1:8" ht="15.75" thickBot="1">
      <c r="A470" s="436"/>
      <c r="B470" s="436"/>
      <c r="C470" s="436"/>
      <c r="D470" s="436"/>
      <c r="E470" s="436"/>
      <c r="F470" s="436"/>
      <c r="G470" s="437" t="s">
        <v>86</v>
      </c>
      <c r="H470" s="496">
        <f>SUM(G468:G469)</f>
        <v>18064.491718794925</v>
      </c>
    </row>
    <row r="471" spans="1:8" ht="15.75" thickBot="1">
      <c r="A471" s="436"/>
      <c r="B471" s="436"/>
      <c r="C471" s="436"/>
      <c r="D471" s="436"/>
      <c r="E471" s="436"/>
      <c r="F471" s="436"/>
      <c r="G471" s="436"/>
      <c r="H471" s="436"/>
    </row>
    <row r="472" spans="1:8" ht="15.75" thickBot="1">
      <c r="A472" s="446"/>
      <c r="B472" s="446"/>
      <c r="C472" s="436"/>
      <c r="D472" s="484" t="s">
        <v>109</v>
      </c>
      <c r="E472" s="485"/>
      <c r="F472" s="485"/>
      <c r="G472" s="485"/>
      <c r="H472" s="466">
        <f>ROUND((H465+H470),0)</f>
        <v>131678</v>
      </c>
    </row>
  </sheetData>
  <mergeCells count="101">
    <mergeCell ref="A314:C314"/>
    <mergeCell ref="A296:C296"/>
    <mergeCell ref="A297:C297"/>
    <mergeCell ref="A298:C298"/>
    <mergeCell ref="A301:C301"/>
    <mergeCell ref="A312:C312"/>
    <mergeCell ref="A361:C361"/>
    <mergeCell ref="A344:C344"/>
    <mergeCell ref="A345:C345"/>
    <mergeCell ref="A348:C348"/>
    <mergeCell ref="A359:C359"/>
    <mergeCell ref="A334:C336"/>
    <mergeCell ref="D336:H336"/>
    <mergeCell ref="B339:F339"/>
    <mergeCell ref="A342:C342"/>
    <mergeCell ref="A343:C343"/>
    <mergeCell ref="A443:C443"/>
    <mergeCell ref="A452:C452"/>
    <mergeCell ref="A454:C454"/>
    <mergeCell ref="D430:H430"/>
    <mergeCell ref="A436:C436"/>
    <mergeCell ref="A437:C437"/>
    <mergeCell ref="A438:C438"/>
    <mergeCell ref="A440:C440"/>
    <mergeCell ref="A439:C439"/>
    <mergeCell ref="A392:C392"/>
    <mergeCell ref="A395:C395"/>
    <mergeCell ref="A404:C404"/>
    <mergeCell ref="A406:C406"/>
    <mergeCell ref="A428:C430"/>
    <mergeCell ref="A381:C383"/>
    <mergeCell ref="D383:H383"/>
    <mergeCell ref="A389:C389"/>
    <mergeCell ref="A390:C390"/>
    <mergeCell ref="A391:C391"/>
    <mergeCell ref="A263:C263"/>
    <mergeCell ref="A265:C265"/>
    <mergeCell ref="A287:C289"/>
    <mergeCell ref="D289:H289"/>
    <mergeCell ref="A295:C295"/>
    <mergeCell ref="A246:C246"/>
    <mergeCell ref="A247:C247"/>
    <mergeCell ref="A248:C248"/>
    <mergeCell ref="A249:C249"/>
    <mergeCell ref="A252:C252"/>
    <mergeCell ref="A205:C205"/>
    <mergeCell ref="A214:C214"/>
    <mergeCell ref="A216:C216"/>
    <mergeCell ref="A238:C240"/>
    <mergeCell ref="D240:H240"/>
    <mergeCell ref="D193:H193"/>
    <mergeCell ref="A199:C199"/>
    <mergeCell ref="A200:C200"/>
    <mergeCell ref="A201:C201"/>
    <mergeCell ref="A202:C202"/>
    <mergeCell ref="B196:F196"/>
    <mergeCell ref="A155:C155"/>
    <mergeCell ref="A158:C158"/>
    <mergeCell ref="A167:C167"/>
    <mergeCell ref="A169:C169"/>
    <mergeCell ref="A191:C193"/>
    <mergeCell ref="A144:C146"/>
    <mergeCell ref="D146:H146"/>
    <mergeCell ref="A152:C152"/>
    <mergeCell ref="A153:C153"/>
    <mergeCell ref="A154:C154"/>
    <mergeCell ref="B149:F149"/>
    <mergeCell ref="A75:C75"/>
    <mergeCell ref="A17:C17"/>
    <mergeCell ref="A26:C26"/>
    <mergeCell ref="A28:C28"/>
    <mergeCell ref="A50:C52"/>
    <mergeCell ref="A59:C59"/>
    <mergeCell ref="A60:C60"/>
    <mergeCell ref="A61:C61"/>
    <mergeCell ref="A64:C64"/>
    <mergeCell ref="A73:C73"/>
    <mergeCell ref="A3:C5"/>
    <mergeCell ref="D5:H5"/>
    <mergeCell ref="A11:C11"/>
    <mergeCell ref="A12:C12"/>
    <mergeCell ref="A13:C13"/>
    <mergeCell ref="B243:F243"/>
    <mergeCell ref="B292:F292"/>
    <mergeCell ref="B386:F386"/>
    <mergeCell ref="B433:F433"/>
    <mergeCell ref="D52:H52"/>
    <mergeCell ref="A58:C58"/>
    <mergeCell ref="A111:C111"/>
    <mergeCell ref="A120:C120"/>
    <mergeCell ref="A122:C122"/>
    <mergeCell ref="A97:C99"/>
    <mergeCell ref="D99:H99"/>
    <mergeCell ref="A105:C105"/>
    <mergeCell ref="A106:C106"/>
    <mergeCell ref="A107:C107"/>
    <mergeCell ref="A108:C108"/>
    <mergeCell ref="B102:F102"/>
    <mergeCell ref="A14:C14"/>
    <mergeCell ref="B8:F8"/>
    <mergeCell ref="B55:F55"/>
  </mergeCells>
  <hyperlinks>
    <hyperlink ref="A1" r:id="rId1" location="PRESUPUESTO!A1" xr:uid="{11ADC169-1387-44B4-9FED-1718100AD04C}"/>
    <hyperlink ref="A48" r:id="rId2" location="PRESUPUESTO!A1" xr:uid="{015112A0-36C0-4ED2-96D8-84CECE7C20FE}"/>
    <hyperlink ref="A95" r:id="rId3" location="PRESUPUESTO!A1" xr:uid="{CB96584B-14BA-4F49-B713-51E633B8BCD5}"/>
    <hyperlink ref="A142" r:id="rId4" location="PRESUPUESTO!A1" xr:uid="{79A9CE74-07F0-46FF-92EB-0756D2876D59}"/>
    <hyperlink ref="A189" r:id="rId5" location="PRESUPUESTO!A1" xr:uid="{4EA43064-BCB2-4F60-9ABB-2E1ABF01D0D8}"/>
    <hyperlink ref="A236" r:id="rId6" location="PRESUPUESTO!A1" xr:uid="{439FF4A7-C969-4BCE-9F40-9B51272A1BD4}"/>
    <hyperlink ref="A285" r:id="rId7" location="PRESUPUESTO!A1" xr:uid="{A7623AAC-69BA-4EC4-9EA6-38FEEA5EF27D}"/>
    <hyperlink ref="A426" r:id="rId8" location="PRESUPUESTO!A1" xr:uid="{18DCA180-65D4-41BA-A0E2-16E9D2158C06}"/>
  </hyperlinks>
  <pageMargins left="0.7" right="0.7" top="0.75" bottom="0.75" header="0.3" footer="0.3"/>
  <pageSetup scale="89" orientation="portrait" r:id="rId9"/>
  <rowBreaks count="8" manualBreakCount="8">
    <brk id="46" max="7" man="1"/>
    <brk id="93" max="7" man="1"/>
    <brk id="141" max="7" man="1"/>
    <brk id="188" max="7" man="1"/>
    <brk id="235" max="7" man="1"/>
    <brk id="284" max="7" man="1"/>
    <brk id="380" max="7" man="1"/>
    <brk id="425" max="7"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5C063-FAEC-4FE7-8C2D-C9AD9D86929C}">
  <dimension ref="A1:J185"/>
  <sheetViews>
    <sheetView view="pageBreakPreview" topLeftCell="A169" zoomScale="145" zoomScaleNormal="100" zoomScaleSheetLayoutView="145" workbookViewId="0">
      <selection activeCell="F172" sqref="F172"/>
    </sheetView>
  </sheetViews>
  <sheetFormatPr baseColWidth="10" defaultRowHeight="15"/>
  <sheetData>
    <row r="1" spans="1:10">
      <c r="A1" s="186" t="s">
        <v>77</v>
      </c>
      <c r="B1" s="446"/>
      <c r="C1" s="446"/>
      <c r="D1" s="446"/>
      <c r="E1" s="446"/>
      <c r="F1" s="446"/>
      <c r="G1" s="446"/>
      <c r="H1" s="446"/>
    </row>
    <row r="2" spans="1:10" ht="15.75" thickBot="1">
      <c r="A2" s="446"/>
      <c r="B2" s="446"/>
      <c r="C2" s="446"/>
      <c r="D2" s="446"/>
      <c r="E2" s="446"/>
      <c r="F2" s="446"/>
      <c r="G2" s="446"/>
      <c r="H2" s="446"/>
    </row>
    <row r="3" spans="1:10">
      <c r="A3" s="1348" t="s">
        <v>213</v>
      </c>
      <c r="B3" s="1349"/>
      <c r="C3" s="1350"/>
      <c r="D3" s="448"/>
      <c r="E3" s="448"/>
      <c r="F3" s="448"/>
      <c r="G3" s="448"/>
      <c r="H3" s="449"/>
    </row>
    <row r="4" spans="1:10">
      <c r="A4" s="1351"/>
      <c r="B4" s="1352"/>
      <c r="C4" s="1353"/>
      <c r="D4" s="436"/>
      <c r="E4" s="450" t="s">
        <v>78</v>
      </c>
      <c r="F4" s="436"/>
      <c r="G4" s="436"/>
      <c r="H4" s="451"/>
    </row>
    <row r="5" spans="1:10" ht="15.75" thickBot="1">
      <c r="A5" s="1354"/>
      <c r="B5" s="1355"/>
      <c r="C5" s="1356"/>
      <c r="D5" s="1360"/>
      <c r="E5" s="1361"/>
      <c r="F5" s="1361"/>
      <c r="G5" s="1361"/>
      <c r="H5" s="1362"/>
    </row>
    <row r="6" spans="1:10">
      <c r="A6" s="455"/>
      <c r="B6" s="436"/>
      <c r="C6" s="436"/>
      <c r="D6" s="436"/>
      <c r="E6" s="436"/>
      <c r="F6" s="436"/>
      <c r="G6" s="436"/>
      <c r="H6" s="436"/>
    </row>
    <row r="7" spans="1:10" s="446" customFormat="1" ht="12.75">
      <c r="A7" s="455" t="s">
        <v>1146</v>
      </c>
      <c r="B7" s="456" t="str">
        <f>+PRESUPUESTO!$B$56</f>
        <v>ACEROS</v>
      </c>
      <c r="C7" s="436"/>
      <c r="E7" s="456"/>
      <c r="G7" s="456" t="s">
        <v>1123</v>
      </c>
      <c r="H7" s="483" t="str">
        <f>+PRESUPUESTO!$A$58</f>
        <v>4.1.1</v>
      </c>
      <c r="I7" s="436"/>
      <c r="J7" s="436"/>
    </row>
    <row r="8" spans="1:10" s="931" customFormat="1" ht="52.15" customHeight="1">
      <c r="A8" s="928" t="s">
        <v>1122</v>
      </c>
      <c r="B8" s="1375" t="str">
        <f>VLOOKUP(H7,PRESUPUESTO!$A$18:$F$251,2,FALSE)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C8" s="1375"/>
      <c r="D8" s="1375"/>
      <c r="E8" s="1375"/>
      <c r="F8" s="1375"/>
      <c r="G8" s="929" t="s">
        <v>9</v>
      </c>
      <c r="H8" s="1024" t="str">
        <f>VLOOKUP(H7,PRESUPUESTO!$A$18:$F$251,3,FALSE)</f>
        <v>kg</v>
      </c>
    </row>
    <row r="9" spans="1:10">
      <c r="A9" s="456"/>
      <c r="B9" s="456"/>
      <c r="C9" s="436"/>
      <c r="D9" s="456"/>
      <c r="E9" s="456"/>
      <c r="F9" s="456"/>
      <c r="G9" s="456"/>
      <c r="H9" s="436"/>
    </row>
    <row r="10" spans="1:10" ht="15.75" thickBot="1">
      <c r="A10" s="450" t="s">
        <v>79</v>
      </c>
      <c r="B10" s="450"/>
      <c r="C10" s="436"/>
      <c r="D10" s="436"/>
      <c r="E10" s="436"/>
      <c r="F10" s="436"/>
      <c r="G10" s="436"/>
      <c r="H10" s="436"/>
    </row>
    <row r="11" spans="1:10">
      <c r="A11" s="1345" t="s">
        <v>80</v>
      </c>
      <c r="B11" s="1346"/>
      <c r="C11" s="1347"/>
      <c r="D11" s="438" t="s">
        <v>81</v>
      </c>
      <c r="E11" s="438" t="s">
        <v>82</v>
      </c>
      <c r="F11" s="438" t="s">
        <v>83</v>
      </c>
      <c r="G11" s="439" t="s">
        <v>84</v>
      </c>
      <c r="H11" s="457"/>
    </row>
    <row r="12" spans="1:10">
      <c r="A12" s="1357" t="s">
        <v>85</v>
      </c>
      <c r="B12" s="1358"/>
      <c r="C12" s="1359"/>
      <c r="D12" s="459"/>
      <c r="E12" s="440"/>
      <c r="F12" s="440"/>
      <c r="G12" s="432">
        <f>ROUND(H37*0.05,0)</f>
        <v>79</v>
      </c>
      <c r="H12" s="460"/>
    </row>
    <row r="13" spans="1:10">
      <c r="A13" s="1357" t="s">
        <v>332</v>
      </c>
      <c r="B13" s="1358"/>
      <c r="C13" s="1359"/>
      <c r="D13" s="461" t="s">
        <v>263</v>
      </c>
      <c r="E13" s="462">
        <f>MATERIALES!$C$7</f>
        <v>12500</v>
      </c>
      <c r="F13" s="497">
        <f>1/F32/3</f>
        <v>2.2222222222222222E-3</v>
      </c>
      <c r="G13" s="432">
        <f>E13*F13</f>
        <v>27.777777777777779</v>
      </c>
      <c r="H13" s="460"/>
    </row>
    <row r="14" spans="1:10" ht="15.75" thickBot="1">
      <c r="A14" s="1342" t="s">
        <v>333</v>
      </c>
      <c r="B14" s="1343"/>
      <c r="C14" s="1344"/>
      <c r="D14" s="464" t="s">
        <v>263</v>
      </c>
      <c r="E14" s="433">
        <f>MATERIALES!$C$8</f>
        <v>32500</v>
      </c>
      <c r="F14" s="434">
        <f>1/F32/3</f>
        <v>2.2222222222222222E-3</v>
      </c>
      <c r="G14" s="441">
        <f>E14*F14</f>
        <v>72.222222222222229</v>
      </c>
      <c r="H14" s="465"/>
    </row>
    <row r="15" spans="1:10" ht="15.75" thickBot="1">
      <c r="A15" s="436"/>
      <c r="B15" s="436"/>
      <c r="C15" s="436"/>
      <c r="D15" s="436"/>
      <c r="E15" s="436"/>
      <c r="F15" s="436"/>
      <c r="G15" s="437" t="s">
        <v>86</v>
      </c>
      <c r="H15" s="466">
        <f>SUM(G12:G14)</f>
        <v>179</v>
      </c>
    </row>
    <row r="16" spans="1:10" ht="15.75" thickBot="1">
      <c r="A16" s="450" t="s">
        <v>87</v>
      </c>
      <c r="B16" s="450"/>
      <c r="C16" s="436"/>
      <c r="D16" s="436"/>
      <c r="E16" s="436"/>
      <c r="F16" s="436"/>
      <c r="G16" s="436"/>
      <c r="H16" s="436"/>
    </row>
    <row r="17" spans="1:8">
      <c r="A17" s="1345" t="s">
        <v>80</v>
      </c>
      <c r="B17" s="1346"/>
      <c r="C17" s="1347"/>
      <c r="D17" s="438" t="s">
        <v>88</v>
      </c>
      <c r="E17" s="438" t="s">
        <v>89</v>
      </c>
      <c r="F17" s="438" t="s">
        <v>90</v>
      </c>
      <c r="G17" s="439" t="s">
        <v>84</v>
      </c>
      <c r="H17" s="457"/>
    </row>
    <row r="18" spans="1:8">
      <c r="A18" s="458" t="s">
        <v>336</v>
      </c>
      <c r="B18" s="467"/>
      <c r="C18" s="468"/>
      <c r="D18" s="459" t="s">
        <v>266</v>
      </c>
      <c r="E18" s="430">
        <f>MATERIALES!$C$17</f>
        <v>5474</v>
      </c>
      <c r="F18" s="440">
        <v>1</v>
      </c>
      <c r="G18" s="432">
        <f>E18*F18</f>
        <v>5474</v>
      </c>
      <c r="H18" s="460"/>
    </row>
    <row r="19" spans="1:8">
      <c r="A19" s="469" t="s">
        <v>337</v>
      </c>
      <c r="B19" s="467"/>
      <c r="C19" s="468"/>
      <c r="D19" s="459" t="s">
        <v>266</v>
      </c>
      <c r="E19" s="470">
        <f>MATERIALES!$C$18</f>
        <v>6307</v>
      </c>
      <c r="F19" s="440">
        <f>F18*0.03</f>
        <v>0.03</v>
      </c>
      <c r="G19" s="432">
        <f>F19*E19</f>
        <v>189.20999999999998</v>
      </c>
      <c r="H19" s="460"/>
    </row>
    <row r="20" spans="1:8">
      <c r="A20" s="469" t="s">
        <v>93</v>
      </c>
      <c r="B20" s="467"/>
      <c r="C20" s="471">
        <v>0.05</v>
      </c>
      <c r="D20" s="459"/>
      <c r="F20" s="431"/>
      <c r="G20" s="432">
        <f>SUM(G17:G19)*C20</f>
        <v>283.16050000000001</v>
      </c>
      <c r="H20" s="460"/>
    </row>
    <row r="21" spans="1:8">
      <c r="A21" s="469"/>
      <c r="B21" s="467"/>
      <c r="C21" s="468"/>
      <c r="D21" s="459"/>
      <c r="E21" s="430"/>
      <c r="F21" s="431"/>
      <c r="G21" s="432"/>
      <c r="H21" s="460"/>
    </row>
    <row r="22" spans="1:8">
      <c r="A22" s="469"/>
      <c r="B22" s="467"/>
      <c r="C22" s="468"/>
      <c r="D22" s="459"/>
      <c r="E22" s="430"/>
      <c r="F22" s="431"/>
      <c r="G22" s="432"/>
      <c r="H22" s="460"/>
    </row>
    <row r="23" spans="1:8" ht="15.75" thickBot="1">
      <c r="A23" s="472"/>
      <c r="B23" s="473"/>
      <c r="C23" s="474"/>
      <c r="D23" s="464"/>
      <c r="E23" s="433"/>
      <c r="F23" s="434"/>
      <c r="G23" s="435"/>
      <c r="H23" s="465"/>
    </row>
    <row r="24" spans="1:8" ht="15.75" thickBot="1">
      <c r="A24" s="436"/>
      <c r="B24" s="436"/>
      <c r="C24" s="436"/>
      <c r="D24" s="436"/>
      <c r="E24" s="436"/>
      <c r="F24" s="436"/>
      <c r="G24" s="437" t="s">
        <v>86</v>
      </c>
      <c r="H24" s="466">
        <f>SUM(G18:G23)</f>
        <v>5946.3705</v>
      </c>
    </row>
    <row r="25" spans="1:8" ht="15.75" thickBot="1">
      <c r="A25" s="450" t="s">
        <v>94</v>
      </c>
      <c r="B25" s="450"/>
      <c r="C25" s="436"/>
      <c r="D25" s="436"/>
      <c r="E25" s="436"/>
      <c r="F25" s="436"/>
      <c r="G25" s="436"/>
      <c r="H25" s="436"/>
    </row>
    <row r="26" spans="1:8">
      <c r="A26" s="1345" t="s">
        <v>95</v>
      </c>
      <c r="B26" s="1346"/>
      <c r="C26" s="1347"/>
      <c r="D26" s="438" t="s">
        <v>88</v>
      </c>
      <c r="E26" s="438" t="s">
        <v>89</v>
      </c>
      <c r="F26" s="438" t="s">
        <v>90</v>
      </c>
      <c r="G26" s="439" t="s">
        <v>84</v>
      </c>
      <c r="H26" s="457"/>
    </row>
    <row r="27" spans="1:8">
      <c r="A27" s="458" t="s">
        <v>235</v>
      </c>
      <c r="B27" s="467"/>
      <c r="C27" s="468"/>
      <c r="D27" s="459" t="s">
        <v>266</v>
      </c>
      <c r="E27" s="430">
        <v>100</v>
      </c>
      <c r="F27" s="440">
        <v>1</v>
      </c>
      <c r="G27" s="432">
        <f>E27*F27</f>
        <v>100</v>
      </c>
      <c r="H27" s="460"/>
    </row>
    <row r="28" spans="1:8" ht="15.75" thickBot="1">
      <c r="A28" s="1342"/>
      <c r="B28" s="1343"/>
      <c r="C28" s="1344"/>
      <c r="D28" s="475"/>
      <c r="E28" s="433"/>
      <c r="F28" s="434"/>
      <c r="G28" s="441"/>
      <c r="H28" s="460"/>
    </row>
    <row r="29" spans="1:8" ht="15.75" thickBot="1">
      <c r="A29" s="436"/>
      <c r="B29" s="436"/>
      <c r="C29" s="436"/>
      <c r="D29" s="436"/>
      <c r="E29" s="436"/>
      <c r="F29" s="436"/>
      <c r="G29" s="437" t="s">
        <v>86</v>
      </c>
      <c r="H29" s="466">
        <f>SUM(G27:G28)</f>
        <v>100</v>
      </c>
    </row>
    <row r="30" spans="1:8" ht="15.75" thickBot="1">
      <c r="A30" s="450" t="s">
        <v>96</v>
      </c>
      <c r="B30" s="450"/>
      <c r="C30" s="436"/>
      <c r="D30" s="436"/>
      <c r="E30" s="436"/>
      <c r="F30" s="436"/>
      <c r="G30" s="436"/>
      <c r="H30" s="436"/>
    </row>
    <row r="31" spans="1:8">
      <c r="A31" s="476" t="s">
        <v>97</v>
      </c>
      <c r="B31" s="438"/>
      <c r="C31" s="438" t="s">
        <v>98</v>
      </c>
      <c r="D31" s="438" t="s">
        <v>99</v>
      </c>
      <c r="E31" s="442" t="s">
        <v>100</v>
      </c>
      <c r="F31" s="443" t="s">
        <v>83</v>
      </c>
      <c r="G31" s="444" t="s">
        <v>84</v>
      </c>
      <c r="H31" s="477"/>
    </row>
    <row r="32" spans="1:8">
      <c r="A32" s="478" t="s">
        <v>227</v>
      </c>
      <c r="B32" s="468"/>
      <c r="C32" s="479">
        <f>PERSONAL!$E$31</f>
        <v>48800</v>
      </c>
      <c r="D32" s="480">
        <f>PERSONAL!$F$31</f>
        <v>1.7431000000000001</v>
      </c>
      <c r="E32" s="440">
        <f>+D32*C32</f>
        <v>85063.28</v>
      </c>
      <c r="F32" s="440">
        <v>150</v>
      </c>
      <c r="G32" s="445">
        <f>ROUND(E32/F32,0)</f>
        <v>567</v>
      </c>
      <c r="H32" s="451"/>
    </row>
    <row r="33" spans="1:8">
      <c r="A33" s="478" t="s">
        <v>101</v>
      </c>
      <c r="B33" s="467"/>
      <c r="C33" s="479">
        <f>PERSONAL!$E$32</f>
        <v>87200</v>
      </c>
      <c r="D33" s="480">
        <f>PERSONAL!$F$31</f>
        <v>1.7431000000000001</v>
      </c>
      <c r="E33" s="440">
        <f>+D33*C33</f>
        <v>151998.32</v>
      </c>
      <c r="F33" s="440">
        <f>+F32</f>
        <v>150</v>
      </c>
      <c r="G33" s="445">
        <f>ROUND(E33/F33,0)</f>
        <v>1013</v>
      </c>
      <c r="H33" s="451"/>
    </row>
    <row r="34" spans="1:8">
      <c r="A34" s="478"/>
      <c r="B34" s="468"/>
      <c r="C34" s="430"/>
      <c r="D34" s="459"/>
      <c r="E34" s="430"/>
      <c r="F34" s="440"/>
      <c r="G34" s="445"/>
      <c r="H34" s="451"/>
    </row>
    <row r="35" spans="1:8">
      <c r="A35" s="478"/>
      <c r="B35" s="468"/>
      <c r="C35" s="430"/>
      <c r="D35" s="459"/>
      <c r="E35" s="430"/>
      <c r="F35" s="440"/>
      <c r="G35" s="445"/>
      <c r="H35" s="451"/>
    </row>
    <row r="36" spans="1:8" ht="15.75" thickBot="1">
      <c r="A36" s="481"/>
      <c r="B36" s="474"/>
      <c r="C36" s="474"/>
      <c r="D36" s="474"/>
      <c r="E36" s="474"/>
      <c r="F36" s="474"/>
      <c r="G36" s="482"/>
      <c r="H36" s="482"/>
    </row>
    <row r="37" spans="1:8" ht="15.75" thickBot="1">
      <c r="A37" s="436"/>
      <c r="B37" s="436"/>
      <c r="C37" s="436"/>
      <c r="D37" s="436"/>
      <c r="E37" s="436"/>
      <c r="F37" s="436"/>
      <c r="G37" s="437" t="s">
        <v>86</v>
      </c>
      <c r="H37" s="466">
        <f>SUM(G32:G36)</f>
        <v>1580</v>
      </c>
    </row>
    <row r="38" spans="1:8" ht="15.75" thickBot="1">
      <c r="A38" s="436"/>
      <c r="B38" s="436"/>
      <c r="C38" s="436"/>
      <c r="D38" s="436"/>
      <c r="E38" s="436"/>
      <c r="F38" s="436"/>
      <c r="G38" s="483"/>
      <c r="H38" s="436"/>
    </row>
    <row r="39" spans="1:8" ht="15.75" thickBot="1">
      <c r="A39" s="436"/>
      <c r="B39" s="436"/>
      <c r="C39" s="436"/>
      <c r="D39" s="436"/>
      <c r="E39" s="484" t="s">
        <v>102</v>
      </c>
      <c r="F39" s="485"/>
      <c r="G39" s="485"/>
      <c r="H39" s="466">
        <f>H15+H24+H29+H37</f>
        <v>7805.3705</v>
      </c>
    </row>
    <row r="40" spans="1:8" ht="15.75" thickBot="1">
      <c r="A40" s="450" t="s">
        <v>103</v>
      </c>
      <c r="B40" s="450"/>
      <c r="C40" s="436"/>
      <c r="D40" s="436"/>
      <c r="E40" s="436"/>
      <c r="F40" s="436"/>
      <c r="G40" s="436"/>
      <c r="H40" s="436"/>
    </row>
    <row r="41" spans="1:8">
      <c r="A41" s="487" t="s">
        <v>80</v>
      </c>
      <c r="B41" s="488"/>
      <c r="C41" s="488"/>
      <c r="D41" s="488"/>
      <c r="E41" s="489"/>
      <c r="F41" s="490" t="s">
        <v>104</v>
      </c>
      <c r="G41" s="491" t="s">
        <v>105</v>
      </c>
      <c r="H41" s="457"/>
    </row>
    <row r="42" spans="1:8">
      <c r="A42" s="469" t="s">
        <v>106</v>
      </c>
      <c r="B42" s="467"/>
      <c r="C42" s="467"/>
      <c r="D42" s="467"/>
      <c r="E42" s="468"/>
      <c r="F42" s="492">
        <f>PRESUPUESTO!$E$222</f>
        <v>0.109</v>
      </c>
      <c r="G42" s="493">
        <f>+F42*H39</f>
        <v>850.78538449999996</v>
      </c>
      <c r="H42" s="460"/>
    </row>
    <row r="43" spans="1:8" ht="15.75" thickBot="1">
      <c r="A43" s="472" t="s">
        <v>108</v>
      </c>
      <c r="B43" s="473"/>
      <c r="C43" s="473"/>
      <c r="D43" s="473"/>
      <c r="E43" s="474"/>
      <c r="F43" s="494">
        <f>PRESUPUESTO!$E$223</f>
        <v>0.05</v>
      </c>
      <c r="G43" s="495">
        <f>+F43*H39</f>
        <v>390.26852500000001</v>
      </c>
      <c r="H43" s="465"/>
    </row>
    <row r="44" spans="1:8" ht="15.75" thickBot="1">
      <c r="A44" s="436"/>
      <c r="B44" s="436"/>
      <c r="C44" s="436"/>
      <c r="D44" s="436"/>
      <c r="E44" s="436"/>
      <c r="F44" s="436"/>
      <c r="G44" s="437" t="s">
        <v>86</v>
      </c>
      <c r="H44" s="496">
        <f>SUM(G42:G43)</f>
        <v>1241.0539094999999</v>
      </c>
    </row>
    <row r="45" spans="1:8" ht="15.75" thickBot="1">
      <c r="A45" s="436"/>
      <c r="B45" s="436"/>
      <c r="C45" s="436"/>
      <c r="D45" s="436"/>
      <c r="E45" s="436"/>
      <c r="F45" s="436"/>
      <c r="G45" s="436"/>
      <c r="H45" s="436"/>
    </row>
    <row r="46" spans="1:8" ht="15.75" thickBot="1">
      <c r="A46" s="446"/>
      <c r="B46" s="446"/>
      <c r="C46" s="436"/>
      <c r="D46" s="484" t="s">
        <v>109</v>
      </c>
      <c r="E46" s="485"/>
      <c r="F46" s="485"/>
      <c r="G46" s="485"/>
      <c r="H46" s="466">
        <f>ROUND((H39+H44),0)</f>
        <v>9046</v>
      </c>
    </row>
    <row r="47" spans="1:8">
      <c r="A47" s="446"/>
      <c r="B47" s="446"/>
      <c r="C47" s="446"/>
      <c r="D47" s="446"/>
      <c r="E47" s="446"/>
      <c r="F47" s="446"/>
      <c r="G47" s="446"/>
      <c r="H47" s="446"/>
    </row>
    <row r="48" spans="1:8">
      <c r="A48" s="186" t="s">
        <v>77</v>
      </c>
      <c r="B48" s="446"/>
      <c r="C48" s="446"/>
      <c r="D48" s="446"/>
      <c r="E48" s="446"/>
      <c r="F48" s="446"/>
      <c r="G48" s="446"/>
      <c r="H48" s="446"/>
    </row>
    <row r="49" spans="1:10" ht="15.75" thickBot="1">
      <c r="A49" s="446"/>
      <c r="B49" s="446"/>
      <c r="C49" s="446"/>
      <c r="D49" s="446"/>
      <c r="E49" s="446"/>
      <c r="F49" s="446"/>
      <c r="G49" s="446"/>
      <c r="H49" s="446"/>
    </row>
    <row r="50" spans="1:10">
      <c r="A50" s="1348" t="s">
        <v>213</v>
      </c>
      <c r="B50" s="1349"/>
      <c r="C50" s="1350"/>
      <c r="D50" s="448"/>
      <c r="E50" s="448"/>
      <c r="F50" s="448"/>
      <c r="G50" s="448"/>
      <c r="H50" s="449"/>
    </row>
    <row r="51" spans="1:10">
      <c r="A51" s="1351"/>
      <c r="B51" s="1352"/>
      <c r="C51" s="1353"/>
      <c r="D51" s="436"/>
      <c r="E51" s="450" t="s">
        <v>78</v>
      </c>
      <c r="F51" s="436"/>
      <c r="G51" s="436"/>
      <c r="H51" s="451"/>
    </row>
    <row r="52" spans="1:10" ht="15.75" thickBot="1">
      <c r="A52" s="1354"/>
      <c r="B52" s="1355"/>
      <c r="C52" s="1356"/>
      <c r="D52" s="1360"/>
      <c r="E52" s="1361"/>
      <c r="F52" s="1361"/>
      <c r="G52" s="1361"/>
      <c r="H52" s="1362"/>
    </row>
    <row r="53" spans="1:10">
      <c r="A53" s="455"/>
      <c r="B53" s="436"/>
      <c r="C53" s="436"/>
      <c r="D53" s="436"/>
      <c r="E53" s="436"/>
      <c r="F53" s="436"/>
      <c r="G53" s="436"/>
      <c r="H53" s="436"/>
    </row>
    <row r="54" spans="1:10" s="446" customFormat="1" ht="12.75">
      <c r="A54" s="455" t="s">
        <v>1146</v>
      </c>
      <c r="B54" s="456" t="str">
        <f>+PRESUPUESTO!$B$56</f>
        <v>ACEROS</v>
      </c>
      <c r="C54" s="436"/>
      <c r="E54" s="456"/>
      <c r="G54" s="456" t="s">
        <v>1123</v>
      </c>
      <c r="H54" s="483" t="str">
        <f>+PRESUPUESTO!$A$59</f>
        <v>4.1.2</v>
      </c>
      <c r="I54" s="436"/>
      <c r="J54" s="436"/>
    </row>
    <row r="55" spans="1:10" s="931" customFormat="1" ht="52.15" customHeight="1">
      <c r="A55" s="928" t="s">
        <v>1122</v>
      </c>
      <c r="B55" s="1375" t="str">
        <f>VLOOKUP(H54,PRESUPUESTO!$A$18:$F$251,2,FALSE)</f>
        <v>Suministro, transporte e instalación de pasadores en acero liso de 1 1/4" separados 30 cm, L=45 cm FY=280 Mpa</v>
      </c>
      <c r="C55" s="1375"/>
      <c r="D55" s="1375"/>
      <c r="E55" s="1375"/>
      <c r="F55" s="1375"/>
      <c r="G55" s="929" t="s">
        <v>9</v>
      </c>
      <c r="H55" s="1024" t="str">
        <f>VLOOKUP(H54,PRESUPUESTO!$A$18:$F$251,3,FALSE)</f>
        <v>un</v>
      </c>
    </row>
    <row r="56" spans="1:10">
      <c r="A56" s="456"/>
      <c r="B56" s="456"/>
      <c r="C56" s="436"/>
      <c r="D56" s="456"/>
      <c r="E56" s="456"/>
      <c r="F56" s="456"/>
      <c r="G56" s="456"/>
      <c r="H56" s="436"/>
    </row>
    <row r="57" spans="1:10" ht="15.75" thickBot="1">
      <c r="A57" s="450" t="s">
        <v>79</v>
      </c>
      <c r="B57" s="450"/>
      <c r="C57" s="436"/>
      <c r="D57" s="436"/>
      <c r="E57" s="436"/>
      <c r="F57" s="436"/>
      <c r="G57" s="436"/>
      <c r="H57" s="436"/>
    </row>
    <row r="58" spans="1:10">
      <c r="A58" s="1345" t="s">
        <v>80</v>
      </c>
      <c r="B58" s="1346"/>
      <c r="C58" s="1347"/>
      <c r="D58" s="438" t="s">
        <v>81</v>
      </c>
      <c r="E58" s="438" t="s">
        <v>82</v>
      </c>
      <c r="F58" s="438" t="s">
        <v>83</v>
      </c>
      <c r="G58" s="439" t="s">
        <v>84</v>
      </c>
      <c r="H58" s="457"/>
    </row>
    <row r="59" spans="1:10">
      <c r="A59" s="1357" t="s">
        <v>85</v>
      </c>
      <c r="B59" s="1358"/>
      <c r="C59" s="1359"/>
      <c r="D59" s="459"/>
      <c r="E59" s="440"/>
      <c r="F59" s="440"/>
      <c r="G59" s="432">
        <f>ROUND(H84*0.05,0)</f>
        <v>593</v>
      </c>
      <c r="H59" s="460"/>
    </row>
    <row r="60" spans="1:10">
      <c r="A60" s="1357" t="s">
        <v>332</v>
      </c>
      <c r="B60" s="1358"/>
      <c r="C60" s="1359"/>
      <c r="D60" s="461" t="s">
        <v>263</v>
      </c>
      <c r="E60" s="462">
        <f>MATERIALES!$C$7</f>
        <v>12500</v>
      </c>
      <c r="F60" s="497">
        <f>1/120</f>
        <v>8.3333333333333332E-3</v>
      </c>
      <c r="G60" s="432">
        <f>E60*F60</f>
        <v>104.16666666666667</v>
      </c>
      <c r="H60" s="460"/>
    </row>
    <row r="61" spans="1:10" ht="15.75" thickBot="1">
      <c r="A61" s="1342"/>
      <c r="B61" s="1343"/>
      <c r="C61" s="1344"/>
      <c r="D61" s="464"/>
      <c r="E61" s="433"/>
      <c r="F61" s="434"/>
      <c r="G61" s="441"/>
      <c r="H61" s="465"/>
    </row>
    <row r="62" spans="1:10" ht="15.75" thickBot="1">
      <c r="A62" s="436"/>
      <c r="B62" s="436"/>
      <c r="C62" s="436"/>
      <c r="D62" s="436"/>
      <c r="E62" s="436"/>
      <c r="F62" s="436"/>
      <c r="G62" s="437" t="s">
        <v>86</v>
      </c>
      <c r="H62" s="466">
        <f>SUM(G59:G61)</f>
        <v>697.16666666666663</v>
      </c>
    </row>
    <row r="63" spans="1:10" ht="15.75" thickBot="1">
      <c r="A63" s="450" t="s">
        <v>87</v>
      </c>
      <c r="B63" s="450"/>
      <c r="C63" s="436"/>
      <c r="D63" s="436"/>
      <c r="E63" s="436"/>
      <c r="F63" s="436"/>
      <c r="G63" s="436"/>
      <c r="H63" s="436"/>
    </row>
    <row r="64" spans="1:10">
      <c r="A64" s="1345" t="s">
        <v>80</v>
      </c>
      <c r="B64" s="1346"/>
      <c r="C64" s="1347"/>
      <c r="D64" s="438" t="s">
        <v>88</v>
      </c>
      <c r="E64" s="438" t="s">
        <v>89</v>
      </c>
      <c r="F64" s="438" t="s">
        <v>90</v>
      </c>
      <c r="G64" s="439" t="s">
        <v>84</v>
      </c>
      <c r="H64" s="457"/>
    </row>
    <row r="65" spans="1:8">
      <c r="A65" s="458" t="s">
        <v>612</v>
      </c>
      <c r="B65" s="467"/>
      <c r="C65" s="468"/>
      <c r="D65" s="459" t="s">
        <v>266</v>
      </c>
      <c r="E65" s="430">
        <f>MATERIALES!$C$17</f>
        <v>5474</v>
      </c>
      <c r="F65" s="440">
        <f>6.225*0.45</f>
        <v>2.80125</v>
      </c>
      <c r="G65" s="432">
        <f>E65*F65</f>
        <v>15334.0425</v>
      </c>
      <c r="H65" s="460"/>
    </row>
    <row r="66" spans="1:8">
      <c r="A66" s="469" t="s">
        <v>781</v>
      </c>
      <c r="B66" s="467"/>
      <c r="C66" s="468"/>
      <c r="D66" s="459" t="s">
        <v>266</v>
      </c>
      <c r="E66" s="440">
        <v>1500</v>
      </c>
      <c r="F66" s="470">
        <v>1</v>
      </c>
      <c r="G66" s="432">
        <f>E66*F66</f>
        <v>1500</v>
      </c>
      <c r="H66" s="460"/>
    </row>
    <row r="67" spans="1:8">
      <c r="A67" s="469" t="s">
        <v>93</v>
      </c>
      <c r="B67" s="467"/>
      <c r="C67" s="471">
        <v>0.05</v>
      </c>
      <c r="D67" s="459"/>
      <c r="E67" s="430"/>
      <c r="F67" s="431"/>
      <c r="G67" s="432">
        <f>SUM(G64:G66)*C67</f>
        <v>841.70212500000002</v>
      </c>
      <c r="H67" s="460"/>
    </row>
    <row r="68" spans="1:8">
      <c r="A68" s="469"/>
      <c r="B68" s="467"/>
      <c r="C68" s="468"/>
      <c r="D68" s="459"/>
      <c r="E68" s="430"/>
      <c r="F68" s="431"/>
      <c r="G68" s="432"/>
      <c r="H68" s="460"/>
    </row>
    <row r="69" spans="1:8">
      <c r="A69" s="469"/>
      <c r="B69" s="467"/>
      <c r="C69" s="468"/>
      <c r="D69" s="459"/>
      <c r="E69" s="430"/>
      <c r="F69" s="431"/>
      <c r="G69" s="432"/>
      <c r="H69" s="460"/>
    </row>
    <row r="70" spans="1:8" ht="15.75" thickBot="1">
      <c r="A70" s="472"/>
      <c r="B70" s="473"/>
      <c r="C70" s="474"/>
      <c r="D70" s="464"/>
      <c r="E70" s="433"/>
      <c r="F70" s="434"/>
      <c r="G70" s="435"/>
      <c r="H70" s="465"/>
    </row>
    <row r="71" spans="1:8" ht="15.75" thickBot="1">
      <c r="A71" s="436"/>
      <c r="B71" s="436"/>
      <c r="C71" s="436"/>
      <c r="D71" s="436"/>
      <c r="E71" s="436"/>
      <c r="F71" s="436"/>
      <c r="G71" s="437" t="s">
        <v>86</v>
      </c>
      <c r="H71" s="466">
        <f>SUM(G65:G70)</f>
        <v>17675.744624999999</v>
      </c>
    </row>
    <row r="72" spans="1:8" ht="15.75" thickBot="1">
      <c r="A72" s="450" t="s">
        <v>94</v>
      </c>
      <c r="B72" s="450"/>
      <c r="C72" s="436"/>
      <c r="D72" s="436"/>
      <c r="E72" s="436"/>
      <c r="F72" s="436"/>
      <c r="G72" s="436"/>
      <c r="H72" s="436"/>
    </row>
    <row r="73" spans="1:8">
      <c r="A73" s="1345" t="s">
        <v>95</v>
      </c>
      <c r="B73" s="1346"/>
      <c r="C73" s="1347"/>
      <c r="D73" s="438" t="s">
        <v>88</v>
      </c>
      <c r="E73" s="438" t="s">
        <v>89</v>
      </c>
      <c r="F73" s="438" t="s">
        <v>90</v>
      </c>
      <c r="G73" s="439" t="s">
        <v>84</v>
      </c>
      <c r="H73" s="457"/>
    </row>
    <row r="74" spans="1:8">
      <c r="A74" s="458" t="s">
        <v>235</v>
      </c>
      <c r="B74" s="467"/>
      <c r="C74" s="468"/>
      <c r="D74" s="459" t="s">
        <v>268</v>
      </c>
      <c r="E74" s="430">
        <v>1000</v>
      </c>
      <c r="F74" s="440">
        <v>1</v>
      </c>
      <c r="G74" s="432">
        <f>E74*F74</f>
        <v>1000</v>
      </c>
      <c r="H74" s="460"/>
    </row>
    <row r="75" spans="1:8" ht="15.75" thickBot="1">
      <c r="A75" s="1342"/>
      <c r="B75" s="1343"/>
      <c r="C75" s="1344"/>
      <c r="D75" s="475"/>
      <c r="E75" s="433"/>
      <c r="F75" s="434"/>
      <c r="G75" s="441"/>
      <c r="H75" s="460"/>
    </row>
    <row r="76" spans="1:8" ht="15.75" thickBot="1">
      <c r="A76" s="436"/>
      <c r="B76" s="436"/>
      <c r="C76" s="436"/>
      <c r="D76" s="436"/>
      <c r="E76" s="436"/>
      <c r="F76" s="436"/>
      <c r="G76" s="437" t="s">
        <v>86</v>
      </c>
      <c r="H76" s="466">
        <f>SUM(G74:G75)</f>
        <v>1000</v>
      </c>
    </row>
    <row r="77" spans="1:8" ht="15.75" thickBot="1">
      <c r="A77" s="450" t="s">
        <v>96</v>
      </c>
      <c r="B77" s="450"/>
      <c r="C77" s="436"/>
      <c r="D77" s="436"/>
      <c r="E77" s="436"/>
      <c r="F77" s="436"/>
      <c r="G77" s="436"/>
      <c r="H77" s="436"/>
    </row>
    <row r="78" spans="1:8">
      <c r="A78" s="476" t="s">
        <v>97</v>
      </c>
      <c r="B78" s="438"/>
      <c r="C78" s="438" t="s">
        <v>98</v>
      </c>
      <c r="D78" s="438" t="s">
        <v>99</v>
      </c>
      <c r="E78" s="442" t="s">
        <v>100</v>
      </c>
      <c r="F78" s="443" t="s">
        <v>83</v>
      </c>
      <c r="G78" s="444" t="s">
        <v>84</v>
      </c>
      <c r="H78" s="477"/>
    </row>
    <row r="79" spans="1:8">
      <c r="A79" s="478" t="s">
        <v>227</v>
      </c>
      <c r="B79" s="468"/>
      <c r="C79" s="479">
        <f>PERSONAL!$E$31</f>
        <v>48800</v>
      </c>
      <c r="D79" s="480">
        <f>PERSONAL!$F$31</f>
        <v>1.7431000000000001</v>
      </c>
      <c r="E79" s="440">
        <f>+D79*C79</f>
        <v>85063.28</v>
      </c>
      <c r="F79" s="686">
        <v>20</v>
      </c>
      <c r="G79" s="445">
        <f>ROUND(E79/F79,0)</f>
        <v>4253</v>
      </c>
      <c r="H79" s="451"/>
    </row>
    <row r="80" spans="1:8">
      <c r="A80" s="478" t="s">
        <v>101</v>
      </c>
      <c r="B80" s="467"/>
      <c r="C80" s="479">
        <f>PERSONAL!$E$32</f>
        <v>87200</v>
      </c>
      <c r="D80" s="480">
        <f>PERSONAL!$F$31</f>
        <v>1.7431000000000001</v>
      </c>
      <c r="E80" s="440">
        <f>+D80*C80</f>
        <v>151998.32</v>
      </c>
      <c r="F80" s="686">
        <v>20</v>
      </c>
      <c r="G80" s="445">
        <f>ROUND(E80/F80,0)</f>
        <v>7600</v>
      </c>
      <c r="H80" s="451"/>
    </row>
    <row r="81" spans="1:8">
      <c r="A81" s="478"/>
      <c r="B81" s="468"/>
      <c r="C81" s="430"/>
      <c r="D81" s="459"/>
      <c r="E81" s="430"/>
      <c r="F81" s="440"/>
      <c r="G81" s="445"/>
      <c r="H81" s="451"/>
    </row>
    <row r="82" spans="1:8">
      <c r="A82" s="478"/>
      <c r="B82" s="468"/>
      <c r="C82" s="430"/>
      <c r="D82" s="459"/>
      <c r="E82" s="430"/>
      <c r="F82" s="440"/>
      <c r="G82" s="445"/>
      <c r="H82" s="451"/>
    </row>
    <row r="83" spans="1:8" ht="15.75" thickBot="1">
      <c r="A83" s="481"/>
      <c r="B83" s="474"/>
      <c r="C83" s="474"/>
      <c r="D83" s="474"/>
      <c r="E83" s="474"/>
      <c r="F83" s="474"/>
      <c r="G83" s="482"/>
      <c r="H83" s="482"/>
    </row>
    <row r="84" spans="1:8" ht="15.75" thickBot="1">
      <c r="A84" s="436"/>
      <c r="B84" s="436"/>
      <c r="C84" s="436"/>
      <c r="D84" s="436"/>
      <c r="E84" s="436"/>
      <c r="F84" s="436"/>
      <c r="G84" s="437" t="s">
        <v>86</v>
      </c>
      <c r="H84" s="466">
        <f>SUM(G79:G83)</f>
        <v>11853</v>
      </c>
    </row>
    <row r="85" spans="1:8" ht="15.75" thickBot="1">
      <c r="A85" s="436"/>
      <c r="B85" s="436"/>
      <c r="C85" s="436"/>
      <c r="D85" s="436"/>
      <c r="E85" s="436"/>
      <c r="F85" s="436"/>
      <c r="G85" s="483"/>
      <c r="H85" s="436"/>
    </row>
    <row r="86" spans="1:8" ht="15.75" thickBot="1">
      <c r="A86" s="436"/>
      <c r="B86" s="436"/>
      <c r="C86" s="436"/>
      <c r="D86" s="436"/>
      <c r="E86" s="484" t="s">
        <v>102</v>
      </c>
      <c r="F86" s="485"/>
      <c r="G86" s="485"/>
      <c r="H86" s="466">
        <f>H62+H71+H76+H84</f>
        <v>31225.911291666667</v>
      </c>
    </row>
    <row r="87" spans="1:8" ht="15.75" thickBot="1">
      <c r="A87" s="450" t="s">
        <v>103</v>
      </c>
      <c r="B87" s="450"/>
      <c r="C87" s="436"/>
      <c r="D87" s="436"/>
      <c r="E87" s="436"/>
      <c r="F87" s="436"/>
      <c r="G87" s="436"/>
      <c r="H87" s="436"/>
    </row>
    <row r="88" spans="1:8">
      <c r="A88" s="487" t="s">
        <v>80</v>
      </c>
      <c r="B88" s="488"/>
      <c r="C88" s="488"/>
      <c r="D88" s="488"/>
      <c r="E88" s="489"/>
      <c r="F88" s="490" t="s">
        <v>104</v>
      </c>
      <c r="G88" s="491" t="s">
        <v>105</v>
      </c>
      <c r="H88" s="457"/>
    </row>
    <row r="89" spans="1:8">
      <c r="A89" s="469" t="s">
        <v>106</v>
      </c>
      <c r="B89" s="467"/>
      <c r="C89" s="467"/>
      <c r="D89" s="467"/>
      <c r="E89" s="468"/>
      <c r="F89" s="492">
        <f>PRESUPUESTO!$E$222</f>
        <v>0.109</v>
      </c>
      <c r="G89" s="493">
        <f>+F89*H86</f>
        <v>3403.6243307916666</v>
      </c>
      <c r="H89" s="460"/>
    </row>
    <row r="90" spans="1:8" ht="15.75" thickBot="1">
      <c r="A90" s="472" t="s">
        <v>108</v>
      </c>
      <c r="B90" s="473"/>
      <c r="C90" s="473"/>
      <c r="D90" s="473"/>
      <c r="E90" s="474"/>
      <c r="F90" s="494">
        <f>PRESUPUESTO!$E$223</f>
        <v>0.05</v>
      </c>
      <c r="G90" s="495">
        <f>+F90*H86</f>
        <v>1561.2955645833335</v>
      </c>
      <c r="H90" s="465"/>
    </row>
    <row r="91" spans="1:8" ht="15.75" thickBot="1">
      <c r="A91" s="436"/>
      <c r="B91" s="436"/>
      <c r="C91" s="436"/>
      <c r="D91" s="436"/>
      <c r="E91" s="436"/>
      <c r="F91" s="436"/>
      <c r="G91" s="437" t="s">
        <v>86</v>
      </c>
      <c r="H91" s="496">
        <f>SUM(G89:G90)</f>
        <v>4964.9198953750001</v>
      </c>
    </row>
    <row r="92" spans="1:8" ht="15.75" thickBot="1">
      <c r="A92" s="436"/>
      <c r="B92" s="436"/>
      <c r="C92" s="436"/>
      <c r="D92" s="436"/>
      <c r="E92" s="436"/>
      <c r="F92" s="436"/>
      <c r="G92" s="436"/>
      <c r="H92" s="436"/>
    </row>
    <row r="93" spans="1:8" ht="15.75" thickBot="1">
      <c r="A93" s="446"/>
      <c r="B93" s="446"/>
      <c r="C93" s="436"/>
      <c r="D93" s="484" t="s">
        <v>109</v>
      </c>
      <c r="E93" s="485"/>
      <c r="F93" s="485"/>
      <c r="G93" s="485"/>
      <c r="H93" s="466">
        <f>ROUND((H86+H91),0)</f>
        <v>36191</v>
      </c>
    </row>
    <row r="94" spans="1:8">
      <c r="A94" s="446"/>
      <c r="B94" s="446"/>
      <c r="C94" s="446"/>
      <c r="D94" s="446"/>
      <c r="E94" s="446"/>
      <c r="F94" s="446"/>
      <c r="G94" s="446"/>
      <c r="H94" s="446"/>
    </row>
    <row r="95" spans="1:8">
      <c r="A95" s="186" t="s">
        <v>77</v>
      </c>
      <c r="B95" s="446"/>
      <c r="C95" s="446"/>
      <c r="D95" s="446"/>
      <c r="E95" s="446"/>
      <c r="F95" s="446"/>
      <c r="G95" s="446"/>
      <c r="H95" s="446"/>
    </row>
    <row r="96" spans="1:8" ht="15.75" thickBot="1">
      <c r="A96" s="446"/>
      <c r="B96" s="446"/>
      <c r="C96" s="446"/>
      <c r="D96" s="446"/>
      <c r="E96" s="446"/>
      <c r="F96" s="446"/>
      <c r="G96" s="446"/>
      <c r="H96" s="446"/>
    </row>
    <row r="97" spans="1:10">
      <c r="A97" s="1348" t="s">
        <v>213</v>
      </c>
      <c r="B97" s="1349"/>
      <c r="C97" s="1350"/>
      <c r="D97" s="448"/>
      <c r="E97" s="448"/>
      <c r="F97" s="448"/>
      <c r="G97" s="448"/>
      <c r="H97" s="449"/>
    </row>
    <row r="98" spans="1:10">
      <c r="A98" s="1351"/>
      <c r="B98" s="1352"/>
      <c r="C98" s="1353"/>
      <c r="D98" s="436"/>
      <c r="E98" s="450" t="s">
        <v>78</v>
      </c>
      <c r="F98" s="436"/>
      <c r="G98" s="436"/>
      <c r="H98" s="451"/>
    </row>
    <row r="99" spans="1:10" ht="15.75" thickBot="1">
      <c r="A99" s="1354"/>
      <c r="B99" s="1355"/>
      <c r="C99" s="1356"/>
      <c r="D99" s="1360"/>
      <c r="E99" s="1361"/>
      <c r="F99" s="1361"/>
      <c r="G99" s="1361"/>
      <c r="H99" s="1362"/>
    </row>
    <row r="100" spans="1:10">
      <c r="A100" s="455"/>
      <c r="B100" s="436"/>
      <c r="C100" s="436"/>
      <c r="D100" s="436"/>
      <c r="E100" s="436"/>
      <c r="F100" s="436"/>
      <c r="G100" s="436"/>
      <c r="H100" s="436"/>
    </row>
    <row r="101" spans="1:10" s="446" customFormat="1" ht="12.75">
      <c r="A101" s="455" t="s">
        <v>1146</v>
      </c>
      <c r="B101" s="456" t="str">
        <f>+PRESUPUESTO!$B$56</f>
        <v>ACEROS</v>
      </c>
      <c r="C101" s="436"/>
      <c r="E101" s="456"/>
      <c r="G101" s="456" t="s">
        <v>1123</v>
      </c>
      <c r="H101" s="483" t="str">
        <f>+PRESUPUESTO!A60</f>
        <v>4.1.3</v>
      </c>
      <c r="I101" s="436"/>
      <c r="J101" s="436"/>
    </row>
    <row r="102" spans="1:10" s="931" customFormat="1" ht="52.15" customHeight="1">
      <c r="A102" s="928" t="s">
        <v>1122</v>
      </c>
      <c r="B102" s="1375" t="str">
        <f>VLOOKUP(H101,PRESUPUESTO!$A$18:$F$251,2,FALSE)</f>
        <v>Suministro, transporte e instalación de anclajes en acero corrugado de 3/8" separados 80 cm, L=65 cm FY=280 Mpa</v>
      </c>
      <c r="C102" s="1375"/>
      <c r="D102" s="1375"/>
      <c r="E102" s="1375"/>
      <c r="F102" s="1375"/>
      <c r="G102" s="929" t="s">
        <v>9</v>
      </c>
      <c r="H102" s="1024" t="str">
        <f>VLOOKUP(H101,PRESUPUESTO!$A$18:$F$251,3,FALSE)</f>
        <v>un</v>
      </c>
    </row>
    <row r="103" spans="1:10">
      <c r="A103" s="456"/>
      <c r="B103" s="456"/>
      <c r="C103" s="436"/>
      <c r="D103" s="456"/>
      <c r="E103" s="456"/>
      <c r="F103" s="456"/>
      <c r="G103" s="456"/>
      <c r="H103" s="436"/>
    </row>
    <row r="104" spans="1:10" ht="15.75" thickBot="1">
      <c r="A104" s="450" t="s">
        <v>79</v>
      </c>
      <c r="B104" s="450"/>
      <c r="C104" s="436"/>
      <c r="D104" s="436"/>
      <c r="E104" s="436"/>
      <c r="F104" s="436"/>
      <c r="G104" s="436"/>
      <c r="H104" s="436"/>
    </row>
    <row r="105" spans="1:10">
      <c r="A105" s="1345" t="s">
        <v>80</v>
      </c>
      <c r="B105" s="1346"/>
      <c r="C105" s="1347"/>
      <c r="D105" s="438" t="s">
        <v>81</v>
      </c>
      <c r="E105" s="438" t="s">
        <v>82</v>
      </c>
      <c r="F105" s="438" t="s">
        <v>83</v>
      </c>
      <c r="G105" s="439" t="s">
        <v>84</v>
      </c>
      <c r="H105" s="457"/>
    </row>
    <row r="106" spans="1:10">
      <c r="A106" s="1357" t="s">
        <v>85</v>
      </c>
      <c r="B106" s="1358"/>
      <c r="C106" s="1359"/>
      <c r="D106" s="459"/>
      <c r="E106" s="440"/>
      <c r="F106" s="440"/>
      <c r="G106" s="432">
        <f>ROUND(H131*0.05,0)</f>
        <v>988</v>
      </c>
      <c r="H106" s="460"/>
    </row>
    <row r="107" spans="1:10">
      <c r="A107" s="1357" t="s">
        <v>332</v>
      </c>
      <c r="B107" s="1358"/>
      <c r="C107" s="1359"/>
      <c r="D107" s="461" t="s">
        <v>263</v>
      </c>
      <c r="E107" s="462">
        <f>MATERIALES!$C$7</f>
        <v>12500</v>
      </c>
      <c r="F107" s="497">
        <f>1/130</f>
        <v>7.6923076923076927E-3</v>
      </c>
      <c r="G107" s="432">
        <f>E107*F107</f>
        <v>96.15384615384616</v>
      </c>
      <c r="H107" s="460"/>
    </row>
    <row r="108" spans="1:10" ht="15.75" thickBot="1">
      <c r="A108" s="1342"/>
      <c r="B108" s="1343"/>
      <c r="C108" s="1344"/>
      <c r="D108" s="464"/>
      <c r="E108" s="433"/>
      <c r="F108" s="434"/>
      <c r="G108" s="441"/>
      <c r="H108" s="465"/>
    </row>
    <row r="109" spans="1:10" ht="15.75" thickBot="1">
      <c r="A109" s="436"/>
      <c r="B109" s="436"/>
      <c r="C109" s="436"/>
      <c r="D109" s="436"/>
      <c r="E109" s="436"/>
      <c r="F109" s="436"/>
      <c r="G109" s="437" t="s">
        <v>86</v>
      </c>
      <c r="H109" s="466">
        <f>SUM(G106:G108)</f>
        <v>1084.1538461538462</v>
      </c>
    </row>
    <row r="110" spans="1:10" ht="15.75" thickBot="1">
      <c r="A110" s="450" t="s">
        <v>87</v>
      </c>
      <c r="B110" s="450"/>
      <c r="C110" s="436"/>
      <c r="D110" s="436"/>
      <c r="E110" s="436"/>
      <c r="F110" s="436"/>
      <c r="G110" s="436"/>
      <c r="H110" s="436"/>
    </row>
    <row r="111" spans="1:10">
      <c r="A111" s="1345" t="s">
        <v>80</v>
      </c>
      <c r="B111" s="1346"/>
      <c r="C111" s="1347"/>
      <c r="D111" s="438" t="s">
        <v>88</v>
      </c>
      <c r="E111" s="438" t="s">
        <v>89</v>
      </c>
      <c r="F111" s="438" t="s">
        <v>90</v>
      </c>
      <c r="G111" s="439" t="s">
        <v>84</v>
      </c>
      <c r="H111" s="457"/>
    </row>
    <row r="112" spans="1:10">
      <c r="A112" s="458" t="s">
        <v>613</v>
      </c>
      <c r="B112" s="467"/>
      <c r="C112" s="468"/>
      <c r="D112" s="459" t="s">
        <v>268</v>
      </c>
      <c r="E112" s="674">
        <v>2533</v>
      </c>
      <c r="F112" s="686">
        <v>0.65</v>
      </c>
      <c r="G112" s="432">
        <f>E112*F112</f>
        <v>1646.45</v>
      </c>
      <c r="H112" s="460"/>
    </row>
    <row r="113" spans="1:8">
      <c r="A113" s="469" t="s">
        <v>337</v>
      </c>
      <c r="B113" s="467"/>
      <c r="C113" s="468"/>
      <c r="D113" s="459" t="s">
        <v>266</v>
      </c>
      <c r="E113" s="440">
        <v>6307</v>
      </c>
      <c r="F113" s="470"/>
      <c r="G113" s="432">
        <f>E113*F113</f>
        <v>0</v>
      </c>
      <c r="H113" s="460"/>
    </row>
    <row r="114" spans="1:8">
      <c r="A114" s="469" t="s">
        <v>93</v>
      </c>
      <c r="B114" s="467"/>
      <c r="C114" s="471">
        <v>0.05</v>
      </c>
      <c r="D114" s="459"/>
      <c r="E114" s="430"/>
      <c r="F114" s="431"/>
      <c r="G114" s="432">
        <f>SUM(G111:G113)*C114</f>
        <v>82.322500000000005</v>
      </c>
      <c r="H114" s="460"/>
    </row>
    <row r="115" spans="1:8">
      <c r="A115" s="469"/>
      <c r="B115" s="467"/>
      <c r="C115" s="468"/>
      <c r="D115" s="459"/>
      <c r="E115" s="430"/>
      <c r="F115" s="431"/>
      <c r="G115" s="432"/>
      <c r="H115" s="460"/>
    </row>
    <row r="116" spans="1:8">
      <c r="A116" s="469"/>
      <c r="B116" s="467"/>
      <c r="C116" s="468"/>
      <c r="D116" s="459"/>
      <c r="E116" s="430"/>
      <c r="F116" s="431"/>
      <c r="G116" s="432"/>
      <c r="H116" s="460"/>
    </row>
    <row r="117" spans="1:8" ht="15.75" thickBot="1">
      <c r="A117" s="472"/>
      <c r="B117" s="473"/>
      <c r="C117" s="474"/>
      <c r="D117" s="464"/>
      <c r="E117" s="433"/>
      <c r="F117" s="434"/>
      <c r="G117" s="435"/>
      <c r="H117" s="465"/>
    </row>
    <row r="118" spans="1:8" ht="15.75" thickBot="1">
      <c r="A118" s="436"/>
      <c r="B118" s="436"/>
      <c r="C118" s="436"/>
      <c r="D118" s="436"/>
      <c r="E118" s="436"/>
      <c r="F118" s="436"/>
      <c r="G118" s="437" t="s">
        <v>86</v>
      </c>
      <c r="H118" s="466">
        <f>SUM(G112:G117)</f>
        <v>1728.7725</v>
      </c>
    </row>
    <row r="119" spans="1:8" ht="15.75" thickBot="1">
      <c r="A119" s="450" t="s">
        <v>94</v>
      </c>
      <c r="B119" s="450"/>
      <c r="C119" s="436"/>
      <c r="D119" s="436"/>
      <c r="E119" s="436"/>
      <c r="F119" s="436"/>
      <c r="G119" s="436"/>
      <c r="H119" s="436"/>
    </row>
    <row r="120" spans="1:8">
      <c r="A120" s="1345" t="s">
        <v>95</v>
      </c>
      <c r="B120" s="1346"/>
      <c r="C120" s="1347"/>
      <c r="D120" s="438" t="s">
        <v>88</v>
      </c>
      <c r="E120" s="438" t="s">
        <v>89</v>
      </c>
      <c r="F120" s="438" t="s">
        <v>90</v>
      </c>
      <c r="G120" s="439" t="s">
        <v>84</v>
      </c>
      <c r="H120" s="457"/>
    </row>
    <row r="121" spans="1:8">
      <c r="A121" s="458" t="s">
        <v>235</v>
      </c>
      <c r="B121" s="467"/>
      <c r="C121" s="468"/>
      <c r="D121" s="459" t="s">
        <v>268</v>
      </c>
      <c r="E121" s="674">
        <v>500</v>
      </c>
      <c r="F121" s="440">
        <v>1</v>
      </c>
      <c r="G121" s="432">
        <f>E121*F121</f>
        <v>500</v>
      </c>
      <c r="H121" s="460"/>
    </row>
    <row r="122" spans="1:8" ht="15.75" thickBot="1">
      <c r="A122" s="1342"/>
      <c r="B122" s="1343"/>
      <c r="C122" s="1344"/>
      <c r="D122" s="475"/>
      <c r="E122" s="433"/>
      <c r="F122" s="434"/>
      <c r="G122" s="441"/>
      <c r="H122" s="460"/>
    </row>
    <row r="123" spans="1:8" ht="15.75" thickBot="1">
      <c r="A123" s="436"/>
      <c r="B123" s="436"/>
      <c r="C123" s="436"/>
      <c r="D123" s="436"/>
      <c r="E123" s="436"/>
      <c r="F123" s="436"/>
      <c r="G123" s="437" t="s">
        <v>86</v>
      </c>
      <c r="H123" s="466">
        <f>SUM(G121:G122)</f>
        <v>500</v>
      </c>
    </row>
    <row r="124" spans="1:8" ht="15.75" thickBot="1">
      <c r="A124" s="450" t="s">
        <v>96</v>
      </c>
      <c r="B124" s="450"/>
      <c r="C124" s="436"/>
      <c r="D124" s="436"/>
      <c r="E124" s="436"/>
      <c r="F124" s="436"/>
      <c r="G124" s="436"/>
      <c r="H124" s="436"/>
    </row>
    <row r="125" spans="1:8">
      <c r="A125" s="476" t="s">
        <v>97</v>
      </c>
      <c r="B125" s="438"/>
      <c r="C125" s="438" t="s">
        <v>98</v>
      </c>
      <c r="D125" s="438" t="s">
        <v>99</v>
      </c>
      <c r="E125" s="442" t="s">
        <v>100</v>
      </c>
      <c r="F125" s="443" t="s">
        <v>83</v>
      </c>
      <c r="G125" s="444" t="s">
        <v>84</v>
      </c>
      <c r="H125" s="477"/>
    </row>
    <row r="126" spans="1:8">
      <c r="A126" s="478" t="s">
        <v>227</v>
      </c>
      <c r="B126" s="468"/>
      <c r="C126" s="479">
        <f>PERSONAL!$E$31</f>
        <v>48800</v>
      </c>
      <c r="D126" s="480">
        <f>PERSONAL!$F$31</f>
        <v>1.7431000000000001</v>
      </c>
      <c r="E126" s="440">
        <f>+D126*C126</f>
        <v>85063.28</v>
      </c>
      <c r="F126" s="686">
        <v>12</v>
      </c>
      <c r="G126" s="445">
        <f>ROUND(E126/F126,0)</f>
        <v>7089</v>
      </c>
      <c r="H126" s="451"/>
    </row>
    <row r="127" spans="1:8">
      <c r="A127" s="478" t="s">
        <v>101</v>
      </c>
      <c r="B127" s="467"/>
      <c r="C127" s="479">
        <f>PERSONAL!$E$32</f>
        <v>87200</v>
      </c>
      <c r="D127" s="480">
        <f>PERSONAL!$F$31</f>
        <v>1.7431000000000001</v>
      </c>
      <c r="E127" s="440">
        <f>+D127*C127</f>
        <v>151998.32</v>
      </c>
      <c r="F127" s="686">
        <v>12</v>
      </c>
      <c r="G127" s="445">
        <f>ROUND(E127/F127,0)</f>
        <v>12667</v>
      </c>
      <c r="H127" s="451"/>
    </row>
    <row r="128" spans="1:8">
      <c r="A128" s="478"/>
      <c r="B128" s="468"/>
      <c r="C128" s="430"/>
      <c r="D128" s="459"/>
      <c r="E128" s="430"/>
      <c r="F128" s="440"/>
      <c r="G128" s="445"/>
      <c r="H128" s="451"/>
    </row>
    <row r="129" spans="1:8">
      <c r="A129" s="478"/>
      <c r="B129" s="468"/>
      <c r="C129" s="430"/>
      <c r="D129" s="459"/>
      <c r="E129" s="430"/>
      <c r="F129" s="440"/>
      <c r="G129" s="445"/>
      <c r="H129" s="451"/>
    </row>
    <row r="130" spans="1:8" ht="15.75" thickBot="1">
      <c r="A130" s="481"/>
      <c r="B130" s="474"/>
      <c r="C130" s="474"/>
      <c r="D130" s="474"/>
      <c r="E130" s="474"/>
      <c r="F130" s="474"/>
      <c r="G130" s="482"/>
      <c r="H130" s="482"/>
    </row>
    <row r="131" spans="1:8" ht="15.75" thickBot="1">
      <c r="A131" s="436"/>
      <c r="B131" s="436"/>
      <c r="C131" s="436"/>
      <c r="D131" s="436"/>
      <c r="E131" s="436"/>
      <c r="F131" s="436"/>
      <c r="G131" s="437" t="s">
        <v>86</v>
      </c>
      <c r="H131" s="466">
        <f>SUM(G126:G130)</f>
        <v>19756</v>
      </c>
    </row>
    <row r="132" spans="1:8" ht="15.75" thickBot="1">
      <c r="A132" s="436"/>
      <c r="B132" s="436"/>
      <c r="C132" s="436"/>
      <c r="D132" s="436"/>
      <c r="E132" s="436"/>
      <c r="F132" s="436"/>
      <c r="G132" s="483"/>
      <c r="H132" s="436"/>
    </row>
    <row r="133" spans="1:8" ht="15.75" thickBot="1">
      <c r="A133" s="436"/>
      <c r="B133" s="436"/>
      <c r="C133" s="436"/>
      <c r="D133" s="436"/>
      <c r="E133" s="484" t="s">
        <v>102</v>
      </c>
      <c r="F133" s="485"/>
      <c r="G133" s="485"/>
      <c r="H133" s="466">
        <f>H109+H118+H123+H131</f>
        <v>23068.926346153847</v>
      </c>
    </row>
    <row r="134" spans="1:8" ht="15.75" thickBot="1">
      <c r="A134" s="450" t="s">
        <v>103</v>
      </c>
      <c r="B134" s="450"/>
      <c r="C134" s="436"/>
      <c r="D134" s="436"/>
      <c r="E134" s="436"/>
      <c r="F134" s="436"/>
      <c r="G134" s="436"/>
      <c r="H134" s="436"/>
    </row>
    <row r="135" spans="1:8">
      <c r="A135" s="487" t="s">
        <v>80</v>
      </c>
      <c r="B135" s="488"/>
      <c r="C135" s="488"/>
      <c r="D135" s="488"/>
      <c r="E135" s="489"/>
      <c r="F135" s="490" t="s">
        <v>104</v>
      </c>
      <c r="G135" s="491" t="s">
        <v>105</v>
      </c>
      <c r="H135" s="457"/>
    </row>
    <row r="136" spans="1:8">
      <c r="A136" s="469" t="s">
        <v>106</v>
      </c>
      <c r="B136" s="467"/>
      <c r="C136" s="467"/>
      <c r="D136" s="467"/>
      <c r="E136" s="468"/>
      <c r="F136" s="492">
        <f>PRESUPUESTO!$E$222</f>
        <v>0.109</v>
      </c>
      <c r="G136" s="493">
        <f>+F136*H133</f>
        <v>2514.5129717307691</v>
      </c>
      <c r="H136" s="460"/>
    </row>
    <row r="137" spans="1:8" ht="15.75" thickBot="1">
      <c r="A137" s="472" t="s">
        <v>108</v>
      </c>
      <c r="B137" s="473"/>
      <c r="C137" s="473"/>
      <c r="D137" s="473"/>
      <c r="E137" s="474"/>
      <c r="F137" s="494">
        <f>PRESUPUESTO!$E$223</f>
        <v>0.05</v>
      </c>
      <c r="G137" s="495">
        <f>+F137*H133</f>
        <v>1153.4463173076924</v>
      </c>
      <c r="H137" s="465"/>
    </row>
    <row r="138" spans="1:8" ht="15.75" thickBot="1">
      <c r="A138" s="436"/>
      <c r="B138" s="436"/>
      <c r="C138" s="436"/>
      <c r="D138" s="436"/>
      <c r="E138" s="436"/>
      <c r="F138" s="436"/>
      <c r="G138" s="437" t="s">
        <v>86</v>
      </c>
      <c r="H138" s="496">
        <f>SUM(G136:G137)</f>
        <v>3667.9592890384615</v>
      </c>
    </row>
    <row r="139" spans="1:8" ht="15.75" thickBot="1">
      <c r="A139" s="436"/>
      <c r="B139" s="436"/>
      <c r="C139" s="436"/>
      <c r="D139" s="436"/>
      <c r="E139" s="436"/>
      <c r="F139" s="436"/>
      <c r="G139" s="436"/>
      <c r="H139" s="436"/>
    </row>
    <row r="140" spans="1:8" ht="15.75" thickBot="1">
      <c r="A140" s="446"/>
      <c r="B140" s="446"/>
      <c r="C140" s="436"/>
      <c r="D140" s="484" t="s">
        <v>109</v>
      </c>
      <c r="E140" s="485"/>
      <c r="F140" s="485"/>
      <c r="G140" s="485"/>
      <c r="H140" s="466">
        <f>ROUND((H133+H138),0)</f>
        <v>26737</v>
      </c>
    </row>
    <row r="141" spans="1:8" ht="15.75" thickBot="1"/>
    <row r="142" spans="1:8">
      <c r="A142" s="1348" t="s">
        <v>213</v>
      </c>
      <c r="B142" s="1349"/>
      <c r="C142" s="1350"/>
      <c r="D142" s="448"/>
      <c r="E142" s="448"/>
      <c r="F142" s="448"/>
      <c r="G142" s="448"/>
      <c r="H142" s="449"/>
    </row>
    <row r="143" spans="1:8">
      <c r="A143" s="1351"/>
      <c r="B143" s="1352"/>
      <c r="C143" s="1353"/>
      <c r="D143" s="436"/>
      <c r="E143" s="450" t="s">
        <v>78</v>
      </c>
      <c r="F143" s="436"/>
      <c r="G143" s="436"/>
      <c r="H143" s="451"/>
    </row>
    <row r="144" spans="1:8" ht="15.75" thickBot="1">
      <c r="A144" s="1354"/>
      <c r="B144" s="1355"/>
      <c r="C144" s="1356"/>
      <c r="D144" s="1360"/>
      <c r="E144" s="1361"/>
      <c r="F144" s="1361"/>
      <c r="G144" s="1361"/>
      <c r="H144" s="1362"/>
    </row>
    <row r="145" spans="1:10">
      <c r="A145" s="455"/>
      <c r="B145" s="436"/>
      <c r="C145" s="436"/>
      <c r="D145" s="436"/>
      <c r="E145" s="436"/>
      <c r="F145" s="436"/>
      <c r="G145" s="436"/>
      <c r="H145" s="436"/>
    </row>
    <row r="146" spans="1:10" s="446" customFormat="1" ht="12.75">
      <c r="A146" s="455" t="s">
        <v>1146</v>
      </c>
      <c r="B146" s="456" t="str">
        <f>+PRESUPUESTO!$B$56</f>
        <v>ACEROS</v>
      </c>
      <c r="C146" s="436"/>
      <c r="E146" s="456"/>
      <c r="G146" s="456" t="s">
        <v>1123</v>
      </c>
      <c r="H146" s="483" t="str">
        <f>+PRESUPUESTO!$A$61</f>
        <v>4.1.4</v>
      </c>
      <c r="I146" s="436"/>
      <c r="J146" s="436"/>
    </row>
    <row r="147" spans="1:10" s="931" customFormat="1" ht="52.15" customHeight="1">
      <c r="A147" s="928" t="s">
        <v>1122</v>
      </c>
      <c r="B147" s="1375" t="str">
        <f>VLOOKUP(H146,PRESUPUESTO!$A$18:$F$251,2,FALSE)</f>
        <v>Suministro, transporte e instalación de malla electro soldada D-84 para placas de contrapiso.  Incluye el suministro, transportes externo e interno de los materiales, alambre de amarre y todos los elementos necesarios para su correcta instalación y funcionamiento.</v>
      </c>
      <c r="C147" s="1375"/>
      <c r="D147" s="1375"/>
      <c r="E147" s="1375"/>
      <c r="F147" s="1375"/>
      <c r="G147" s="929" t="s">
        <v>9</v>
      </c>
      <c r="H147" s="1024" t="str">
        <f>VLOOKUP(H146,PRESUPUESTO!$A$18:$F$251,3,FALSE)</f>
        <v>m2</v>
      </c>
    </row>
    <row r="148" spans="1:10">
      <c r="A148" s="456"/>
      <c r="B148" s="456"/>
      <c r="C148" s="436"/>
      <c r="D148" s="456"/>
      <c r="E148" s="456"/>
      <c r="F148" s="456"/>
      <c r="G148" s="456"/>
      <c r="H148" s="436"/>
    </row>
    <row r="149" spans="1:10" ht="15.75" thickBot="1">
      <c r="A149" s="450" t="s">
        <v>79</v>
      </c>
      <c r="B149" s="450"/>
      <c r="C149" s="436"/>
      <c r="D149" s="436"/>
      <c r="E149" s="436"/>
      <c r="F149" s="436"/>
      <c r="G149" s="436"/>
      <c r="H149" s="436"/>
    </row>
    <row r="150" spans="1:10">
      <c r="A150" s="1345" t="s">
        <v>80</v>
      </c>
      <c r="B150" s="1346"/>
      <c r="C150" s="1347"/>
      <c r="D150" s="438" t="s">
        <v>81</v>
      </c>
      <c r="E150" s="438" t="s">
        <v>82</v>
      </c>
      <c r="F150" s="438" t="s">
        <v>83</v>
      </c>
      <c r="G150" s="439" t="s">
        <v>84</v>
      </c>
      <c r="H150" s="457"/>
    </row>
    <row r="151" spans="1:10">
      <c r="A151" s="1357" t="s">
        <v>85</v>
      </c>
      <c r="B151" s="1358"/>
      <c r="C151" s="1359"/>
      <c r="D151" s="459"/>
      <c r="E151" s="440"/>
      <c r="F151" s="440"/>
      <c r="G151" s="432">
        <f>ROUND(H176*0.05,0)</f>
        <v>296</v>
      </c>
      <c r="H151" s="460"/>
    </row>
    <row r="152" spans="1:10">
      <c r="A152" s="1357" t="s">
        <v>332</v>
      </c>
      <c r="B152" s="1358"/>
      <c r="C152" s="1359"/>
      <c r="D152" s="461" t="s">
        <v>263</v>
      </c>
      <c r="E152" s="462">
        <f>MATERIALES!$C$7</f>
        <v>12500</v>
      </c>
      <c r="F152" s="497">
        <f>1/130</f>
        <v>7.6923076923076927E-3</v>
      </c>
      <c r="G152" s="432">
        <f>E152*F152</f>
        <v>96.15384615384616</v>
      </c>
      <c r="H152" s="460"/>
    </row>
    <row r="153" spans="1:10" ht="15.75" thickBot="1">
      <c r="A153" s="1342"/>
      <c r="B153" s="1343"/>
      <c r="C153" s="1344"/>
      <c r="D153" s="464"/>
      <c r="E153" s="433"/>
      <c r="F153" s="434"/>
      <c r="G153" s="441"/>
      <c r="H153" s="465"/>
    </row>
    <row r="154" spans="1:10" ht="15.75" thickBot="1">
      <c r="A154" s="436"/>
      <c r="B154" s="436"/>
      <c r="C154" s="436"/>
      <c r="D154" s="436"/>
      <c r="E154" s="436"/>
      <c r="F154" s="436"/>
      <c r="G154" s="437" t="s">
        <v>86</v>
      </c>
      <c r="H154" s="466">
        <f>SUM(G151:G153)</f>
        <v>392.15384615384619</v>
      </c>
    </row>
    <row r="155" spans="1:10" ht="15.75" thickBot="1">
      <c r="A155" s="450" t="s">
        <v>87</v>
      </c>
      <c r="B155" s="450"/>
      <c r="C155" s="436"/>
      <c r="D155" s="436"/>
      <c r="E155" s="436"/>
      <c r="F155" s="436"/>
      <c r="G155" s="436"/>
      <c r="H155" s="436"/>
    </row>
    <row r="156" spans="1:10">
      <c r="A156" s="1345" t="s">
        <v>80</v>
      </c>
      <c r="B156" s="1346"/>
      <c r="C156" s="1347"/>
      <c r="D156" s="438" t="s">
        <v>88</v>
      </c>
      <c r="E156" s="438" t="s">
        <v>89</v>
      </c>
      <c r="F156" s="438" t="s">
        <v>90</v>
      </c>
      <c r="G156" s="439" t="s">
        <v>84</v>
      </c>
      <c r="H156" s="457"/>
    </row>
    <row r="157" spans="1:10">
      <c r="A157" s="458" t="s">
        <v>1260</v>
      </c>
      <c r="B157" s="467"/>
      <c r="C157" s="468"/>
      <c r="D157" s="459" t="s">
        <v>237</v>
      </c>
      <c r="E157" s="674">
        <f>4200*1.19*(18.8/(6*2.35))</f>
        <v>6664</v>
      </c>
      <c r="F157" s="686">
        <v>1.05</v>
      </c>
      <c r="G157" s="432">
        <f>E157*F157</f>
        <v>6997.2000000000007</v>
      </c>
      <c r="H157" s="460"/>
    </row>
    <row r="158" spans="1:10">
      <c r="A158" s="469" t="s">
        <v>337</v>
      </c>
      <c r="B158" s="467"/>
      <c r="C158" s="468"/>
      <c r="D158" s="459" t="s">
        <v>266</v>
      </c>
      <c r="E158" s="440">
        <v>6307</v>
      </c>
      <c r="F158" s="440">
        <f>(57.4/(6*2.35))*0.03</f>
        <v>0.12212765957446808</v>
      </c>
      <c r="G158" s="432">
        <f>E158*F158</f>
        <v>770.25914893617016</v>
      </c>
      <c r="H158" s="460"/>
    </row>
    <row r="159" spans="1:10">
      <c r="A159" s="469" t="s">
        <v>93</v>
      </c>
      <c r="B159" s="467"/>
      <c r="C159" s="471">
        <v>0.05</v>
      </c>
      <c r="D159" s="459"/>
      <c r="E159" s="430"/>
      <c r="F159" s="431"/>
      <c r="G159" s="432">
        <f>SUM(G156:G158)*C159</f>
        <v>388.37295744680858</v>
      </c>
      <c r="H159" s="460"/>
    </row>
    <row r="160" spans="1:10">
      <c r="A160" s="469"/>
      <c r="B160" s="467"/>
      <c r="C160" s="468"/>
      <c r="D160" s="459"/>
      <c r="E160" s="430"/>
      <c r="F160" s="431"/>
      <c r="G160" s="432"/>
      <c r="H160" s="460"/>
    </row>
    <row r="161" spans="1:9">
      <c r="A161" s="469"/>
      <c r="B161" s="467"/>
      <c r="C161" s="468"/>
      <c r="D161" s="459"/>
      <c r="E161" s="430"/>
      <c r="F161" s="431"/>
      <c r="G161" s="432"/>
      <c r="H161" s="460"/>
    </row>
    <row r="162" spans="1:9" ht="15.75" thickBot="1">
      <c r="A162" s="472"/>
      <c r="B162" s="473"/>
      <c r="C162" s="474"/>
      <c r="D162" s="464"/>
      <c r="E162" s="433"/>
      <c r="F162" s="434"/>
      <c r="G162" s="435"/>
      <c r="H162" s="465"/>
    </row>
    <row r="163" spans="1:9" ht="15.75" thickBot="1">
      <c r="A163" s="436"/>
      <c r="B163" s="436"/>
      <c r="C163" s="436"/>
      <c r="D163" s="436"/>
      <c r="E163" s="436"/>
      <c r="F163" s="436"/>
      <c r="G163" s="437" t="s">
        <v>86</v>
      </c>
      <c r="H163" s="466">
        <f>SUM(G157:G162)</f>
        <v>8155.8321063829799</v>
      </c>
    </row>
    <row r="164" spans="1:9" ht="15.75" thickBot="1">
      <c r="A164" s="450" t="s">
        <v>94</v>
      </c>
      <c r="B164" s="450"/>
      <c r="C164" s="436"/>
      <c r="D164" s="436"/>
      <c r="E164" s="436"/>
      <c r="F164" s="436"/>
      <c r="G164" s="436"/>
      <c r="H164" s="436"/>
    </row>
    <row r="165" spans="1:9">
      <c r="A165" s="1345" t="s">
        <v>95</v>
      </c>
      <c r="B165" s="1346"/>
      <c r="C165" s="1347"/>
      <c r="D165" s="438" t="s">
        <v>88</v>
      </c>
      <c r="E165" s="438" t="s">
        <v>89</v>
      </c>
      <c r="F165" s="438" t="s">
        <v>90</v>
      </c>
      <c r="G165" s="439" t="s">
        <v>84</v>
      </c>
      <c r="H165" s="457"/>
    </row>
    <row r="166" spans="1:9">
      <c r="A166" s="458" t="s">
        <v>235</v>
      </c>
      <c r="B166" s="467"/>
      <c r="C166" s="468"/>
      <c r="D166" s="459" t="s">
        <v>268</v>
      </c>
      <c r="E166" s="674">
        <v>500</v>
      </c>
      <c r="F166" s="440">
        <v>1</v>
      </c>
      <c r="G166" s="432">
        <f>E166*F166</f>
        <v>500</v>
      </c>
      <c r="H166" s="460"/>
    </row>
    <row r="167" spans="1:9" ht="15.75" thickBot="1">
      <c r="A167" s="1342" t="s">
        <v>673</v>
      </c>
      <c r="B167" s="1343"/>
      <c r="C167" s="1344"/>
      <c r="D167" s="475" t="s">
        <v>668</v>
      </c>
      <c r="E167" s="433">
        <v>165000</v>
      </c>
      <c r="F167" s="704">
        <f>1/200</f>
        <v>5.0000000000000001E-3</v>
      </c>
      <c r="G167" s="441">
        <f>+E167*F167</f>
        <v>825</v>
      </c>
      <c r="H167" s="460"/>
    </row>
    <row r="168" spans="1:9" ht="15.75" thickBot="1">
      <c r="A168" s="436"/>
      <c r="B168" s="436"/>
      <c r="C168" s="436"/>
      <c r="D168" s="436"/>
      <c r="E168" s="436"/>
      <c r="F168" s="436"/>
      <c r="G168" s="437" t="s">
        <v>86</v>
      </c>
      <c r="H168" s="466">
        <f>SUM(G166:G167)</f>
        <v>1325</v>
      </c>
      <c r="I168" s="699">
        <f>+H168/H178</f>
        <v>8.3860834052656832E-2</v>
      </c>
    </row>
    <row r="169" spans="1:9" ht="15.75" thickBot="1">
      <c r="A169" s="450" t="s">
        <v>96</v>
      </c>
      <c r="B169" s="450"/>
      <c r="C169" s="436"/>
      <c r="D169" s="436"/>
      <c r="E169" s="436"/>
      <c r="F169" s="436"/>
      <c r="G169" s="436"/>
      <c r="H169" s="436"/>
    </row>
    <row r="170" spans="1:9">
      <c r="A170" s="476" t="s">
        <v>97</v>
      </c>
      <c r="B170" s="438"/>
      <c r="C170" s="438" t="s">
        <v>98</v>
      </c>
      <c r="D170" s="438" t="s">
        <v>99</v>
      </c>
      <c r="E170" s="442" t="s">
        <v>100</v>
      </c>
      <c r="F170" s="443" t="s">
        <v>83</v>
      </c>
      <c r="G170" s="444" t="s">
        <v>84</v>
      </c>
      <c r="H170" s="477"/>
    </row>
    <row r="171" spans="1:9">
      <c r="A171" s="478" t="s">
        <v>227</v>
      </c>
      <c r="B171" s="468"/>
      <c r="C171" s="479">
        <f>PERSONAL!$E$31</f>
        <v>48800</v>
      </c>
      <c r="D171" s="480">
        <f>PERSONAL!$F$31</f>
        <v>1.7431000000000001</v>
      </c>
      <c r="E171" s="440">
        <f>+D171*C171</f>
        <v>85063.28</v>
      </c>
      <c r="F171" s="686">
        <v>40</v>
      </c>
      <c r="G171" s="445">
        <f>ROUND(E171/F171,0)</f>
        <v>2127</v>
      </c>
      <c r="H171" s="451"/>
    </row>
    <row r="172" spans="1:9">
      <c r="A172" s="478" t="s">
        <v>101</v>
      </c>
      <c r="B172" s="467"/>
      <c r="C172" s="479">
        <f>PERSONAL!$E$32</f>
        <v>87200</v>
      </c>
      <c r="D172" s="480">
        <f>PERSONAL!$F$31</f>
        <v>1.7431000000000001</v>
      </c>
      <c r="E172" s="440">
        <f>+D172*C172</f>
        <v>151998.32</v>
      </c>
      <c r="F172" s="686">
        <f>+F171</f>
        <v>40</v>
      </c>
      <c r="G172" s="445">
        <f>ROUND(E172/F172,0)</f>
        <v>3800</v>
      </c>
      <c r="H172" s="451"/>
    </row>
    <row r="173" spans="1:9">
      <c r="A173" s="478"/>
      <c r="B173" s="468"/>
      <c r="C173" s="430"/>
      <c r="D173" s="459"/>
      <c r="E173" s="430"/>
      <c r="F173" s="440"/>
      <c r="G173" s="445"/>
      <c r="H173" s="451"/>
    </row>
    <row r="174" spans="1:9">
      <c r="A174" s="478"/>
      <c r="B174" s="468"/>
      <c r="C174" s="430"/>
      <c r="D174" s="459"/>
      <c r="E174" s="430"/>
      <c r="F174" s="440"/>
      <c r="G174" s="445"/>
      <c r="H174" s="451"/>
    </row>
    <row r="175" spans="1:9" ht="15.75" thickBot="1">
      <c r="A175" s="481"/>
      <c r="B175" s="474"/>
      <c r="C175" s="474"/>
      <c r="D175" s="474"/>
      <c r="E175" s="474"/>
      <c r="F175" s="474"/>
      <c r="G175" s="482"/>
      <c r="H175" s="482"/>
    </row>
    <row r="176" spans="1:9" ht="15.75" thickBot="1">
      <c r="A176" s="436"/>
      <c r="B176" s="436"/>
      <c r="C176" s="436"/>
      <c r="D176" s="436"/>
      <c r="E176" s="436"/>
      <c r="F176" s="436"/>
      <c r="G176" s="437" t="s">
        <v>86</v>
      </c>
      <c r="H176" s="466">
        <f>SUM(G171:G175)</f>
        <v>5927</v>
      </c>
    </row>
    <row r="177" spans="1:8" ht="15.75" thickBot="1">
      <c r="A177" s="436"/>
      <c r="B177" s="436"/>
      <c r="C177" s="436"/>
      <c r="D177" s="436"/>
      <c r="E177" s="436"/>
      <c r="F177" s="436"/>
      <c r="G177" s="483"/>
      <c r="H177" s="436"/>
    </row>
    <row r="178" spans="1:8" ht="15.75" thickBot="1">
      <c r="A178" s="436"/>
      <c r="B178" s="436"/>
      <c r="C178" s="436"/>
      <c r="D178" s="436"/>
      <c r="E178" s="484" t="s">
        <v>102</v>
      </c>
      <c r="F178" s="485"/>
      <c r="G178" s="485"/>
      <c r="H178" s="466">
        <f>H154+H163+H168+H176</f>
        <v>15799.985952536827</v>
      </c>
    </row>
    <row r="179" spans="1:8" ht="15.75" thickBot="1">
      <c r="A179" s="450" t="s">
        <v>103</v>
      </c>
      <c r="B179" s="450"/>
      <c r="C179" s="436"/>
      <c r="D179" s="436"/>
      <c r="E179" s="436"/>
      <c r="F179" s="436"/>
      <c r="G179" s="436"/>
      <c r="H179" s="436"/>
    </row>
    <row r="180" spans="1:8">
      <c r="A180" s="487" t="s">
        <v>80</v>
      </c>
      <c r="B180" s="488"/>
      <c r="C180" s="488"/>
      <c r="D180" s="488"/>
      <c r="E180" s="489"/>
      <c r="F180" s="490" t="s">
        <v>104</v>
      </c>
      <c r="G180" s="491" t="s">
        <v>105</v>
      </c>
      <c r="H180" s="457"/>
    </row>
    <row r="181" spans="1:8">
      <c r="A181" s="469" t="s">
        <v>106</v>
      </c>
      <c r="B181" s="467"/>
      <c r="C181" s="467"/>
      <c r="D181" s="467"/>
      <c r="E181" s="468"/>
      <c r="F181" s="492">
        <f>PRESUPUESTO!$E$222</f>
        <v>0.109</v>
      </c>
      <c r="G181" s="493">
        <f>+F181*H178</f>
        <v>1722.198468826514</v>
      </c>
      <c r="H181" s="460"/>
    </row>
    <row r="182" spans="1:8" ht="15.75" thickBot="1">
      <c r="A182" s="472" t="s">
        <v>108</v>
      </c>
      <c r="B182" s="473"/>
      <c r="C182" s="473"/>
      <c r="D182" s="473"/>
      <c r="E182" s="474"/>
      <c r="F182" s="494">
        <f>PRESUPUESTO!$E$223</f>
        <v>0.05</v>
      </c>
      <c r="G182" s="495">
        <f>+F182*H178</f>
        <v>789.99929762684133</v>
      </c>
      <c r="H182" s="465"/>
    </row>
    <row r="183" spans="1:8" ht="15.75" thickBot="1">
      <c r="A183" s="436"/>
      <c r="B183" s="436"/>
      <c r="C183" s="436"/>
      <c r="D183" s="436"/>
      <c r="E183" s="436"/>
      <c r="F183" s="436"/>
      <c r="G183" s="437" t="s">
        <v>86</v>
      </c>
      <c r="H183" s="496">
        <f>SUM(G181:G182)</f>
        <v>2512.1977664533551</v>
      </c>
    </row>
    <row r="184" spans="1:8" ht="15.75" thickBot="1">
      <c r="A184" s="436"/>
      <c r="B184" s="436"/>
      <c r="C184" s="436"/>
      <c r="D184" s="436"/>
      <c r="E184" s="436"/>
      <c r="F184" s="436"/>
      <c r="G184" s="436"/>
      <c r="H184" s="436"/>
    </row>
    <row r="185" spans="1:8" ht="15.75" thickBot="1">
      <c r="A185" s="446"/>
      <c r="B185" s="446"/>
      <c r="C185" s="436"/>
      <c r="D185" s="484" t="s">
        <v>109</v>
      </c>
      <c r="E185" s="485"/>
      <c r="F185" s="485"/>
      <c r="G185" s="485"/>
      <c r="H185" s="466">
        <f>ROUND((H178+H183),0)</f>
        <v>18312</v>
      </c>
    </row>
  </sheetData>
  <mergeCells count="40">
    <mergeCell ref="A108:C108"/>
    <mergeCell ref="A111:C111"/>
    <mergeCell ref="A120:C120"/>
    <mergeCell ref="A122:C122"/>
    <mergeCell ref="A97:C99"/>
    <mergeCell ref="D99:H99"/>
    <mergeCell ref="A105:C105"/>
    <mergeCell ref="A106:C106"/>
    <mergeCell ref="A107:C107"/>
    <mergeCell ref="A75:C75"/>
    <mergeCell ref="B102:F102"/>
    <mergeCell ref="A17:C17"/>
    <mergeCell ref="A26:C26"/>
    <mergeCell ref="A28:C28"/>
    <mergeCell ref="A50:C52"/>
    <mergeCell ref="A59:C59"/>
    <mergeCell ref="A60:C60"/>
    <mergeCell ref="A61:C61"/>
    <mergeCell ref="A64:C64"/>
    <mergeCell ref="A73:C73"/>
    <mergeCell ref="D52:H52"/>
    <mergeCell ref="A58:C58"/>
    <mergeCell ref="B55:F55"/>
    <mergeCell ref="A3:C5"/>
    <mergeCell ref="D5:H5"/>
    <mergeCell ref="A11:C11"/>
    <mergeCell ref="A12:C12"/>
    <mergeCell ref="A14:C14"/>
    <mergeCell ref="A13:C13"/>
    <mergeCell ref="B8:F8"/>
    <mergeCell ref="A142:C144"/>
    <mergeCell ref="D144:H144"/>
    <mergeCell ref="B147:F147"/>
    <mergeCell ref="A150:C150"/>
    <mergeCell ref="A151:C151"/>
    <mergeCell ref="A152:C152"/>
    <mergeCell ref="A153:C153"/>
    <mergeCell ref="A156:C156"/>
    <mergeCell ref="A165:C165"/>
    <mergeCell ref="A167:C167"/>
  </mergeCells>
  <hyperlinks>
    <hyperlink ref="A1" r:id="rId1" location="PRESUPUESTO!A1" xr:uid="{BD8C370D-CE22-4ACB-A4E6-C945B6CFD2B4}"/>
    <hyperlink ref="A48" r:id="rId2" location="PRESUPUESTO!A1" xr:uid="{A1E24BE6-D1BA-4E53-A604-5BA0C0DEBCD8}"/>
    <hyperlink ref="A95" r:id="rId3" location="PRESUPUESTO!A1" xr:uid="{BBF7E7D0-B6E5-4B3E-985B-DF95DC15B338}"/>
  </hyperlinks>
  <pageMargins left="0.7" right="0.7" top="0.75" bottom="0.75" header="0.3" footer="0.3"/>
  <pageSetup scale="91" orientation="portrait" r:id="rId4"/>
  <rowBreaks count="3" manualBreakCount="3">
    <brk id="46" max="7" man="1"/>
    <brk id="93" max="7" man="1"/>
    <brk id="141" max="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3"/>
  <sheetViews>
    <sheetView view="pageBreakPreview" topLeftCell="A74" zoomScale="130" zoomScaleNormal="100" zoomScaleSheetLayoutView="130" workbookViewId="0">
      <selection activeCell="I175" sqref="I175"/>
    </sheetView>
  </sheetViews>
  <sheetFormatPr baseColWidth="10" defaultRowHeight="12.75"/>
  <cols>
    <col min="1" max="1" width="11.42578125" style="446"/>
    <col min="2" max="2" width="10.42578125" style="446" customWidth="1"/>
    <col min="3" max="3" width="13" style="446" customWidth="1"/>
    <col min="4" max="12" width="11.42578125" style="446"/>
    <col min="13" max="13" width="15.42578125" style="446" bestFit="1" customWidth="1"/>
    <col min="14" max="14" width="13.85546875" style="446" bestFit="1" customWidth="1"/>
    <col min="15" max="15" width="11.42578125" style="446"/>
    <col min="16" max="16" width="15.28515625" style="446" customWidth="1"/>
    <col min="17" max="259" width="11.42578125" style="446"/>
    <col min="260" max="260" width="10.42578125" style="446" customWidth="1"/>
    <col min="261" max="261" width="13" style="446" customWidth="1"/>
    <col min="262" max="515" width="11.42578125" style="446"/>
    <col min="516" max="516" width="10.42578125" style="446" customWidth="1"/>
    <col min="517" max="517" width="13" style="446" customWidth="1"/>
    <col min="518" max="771" width="11.42578125" style="446"/>
    <col min="772" max="772" width="10.42578125" style="446" customWidth="1"/>
    <col min="773" max="773" width="13" style="446" customWidth="1"/>
    <col min="774" max="1027" width="11.42578125" style="446"/>
    <col min="1028" max="1028" width="10.42578125" style="446" customWidth="1"/>
    <col min="1029" max="1029" width="13" style="446" customWidth="1"/>
    <col min="1030" max="1283" width="11.42578125" style="446"/>
    <col min="1284" max="1284" width="10.42578125" style="446" customWidth="1"/>
    <col min="1285" max="1285" width="13" style="446" customWidth="1"/>
    <col min="1286" max="1539" width="11.42578125" style="446"/>
    <col min="1540" max="1540" width="10.42578125" style="446" customWidth="1"/>
    <col min="1541" max="1541" width="13" style="446" customWidth="1"/>
    <col min="1542" max="1795" width="11.42578125" style="446"/>
    <col min="1796" max="1796" width="10.42578125" style="446" customWidth="1"/>
    <col min="1797" max="1797" width="13" style="446" customWidth="1"/>
    <col min="1798" max="2051" width="11.42578125" style="446"/>
    <col min="2052" max="2052" width="10.42578125" style="446" customWidth="1"/>
    <col min="2053" max="2053" width="13" style="446" customWidth="1"/>
    <col min="2054" max="2307" width="11.42578125" style="446"/>
    <col min="2308" max="2308" width="10.42578125" style="446" customWidth="1"/>
    <col min="2309" max="2309" width="13" style="446" customWidth="1"/>
    <col min="2310" max="2563" width="11.42578125" style="446"/>
    <col min="2564" max="2564" width="10.42578125" style="446" customWidth="1"/>
    <col min="2565" max="2565" width="13" style="446" customWidth="1"/>
    <col min="2566" max="2819" width="11.42578125" style="446"/>
    <col min="2820" max="2820" width="10.42578125" style="446" customWidth="1"/>
    <col min="2821" max="2821" width="13" style="446" customWidth="1"/>
    <col min="2822" max="3075" width="11.42578125" style="446"/>
    <col min="3076" max="3076" width="10.42578125" style="446" customWidth="1"/>
    <col min="3077" max="3077" width="13" style="446" customWidth="1"/>
    <col min="3078" max="3331" width="11.42578125" style="446"/>
    <col min="3332" max="3332" width="10.42578125" style="446" customWidth="1"/>
    <col min="3333" max="3333" width="13" style="446" customWidth="1"/>
    <col min="3334" max="3587" width="11.42578125" style="446"/>
    <col min="3588" max="3588" width="10.42578125" style="446" customWidth="1"/>
    <col min="3589" max="3589" width="13" style="446" customWidth="1"/>
    <col min="3590" max="3843" width="11.42578125" style="446"/>
    <col min="3844" max="3844" width="10.42578125" style="446" customWidth="1"/>
    <col min="3845" max="3845" width="13" style="446" customWidth="1"/>
    <col min="3846" max="4099" width="11.42578125" style="446"/>
    <col min="4100" max="4100" width="10.42578125" style="446" customWidth="1"/>
    <col min="4101" max="4101" width="13" style="446" customWidth="1"/>
    <col min="4102" max="4355" width="11.42578125" style="446"/>
    <col min="4356" max="4356" width="10.42578125" style="446" customWidth="1"/>
    <col min="4357" max="4357" width="13" style="446" customWidth="1"/>
    <col min="4358" max="4611" width="11.42578125" style="446"/>
    <col min="4612" max="4612" width="10.42578125" style="446" customWidth="1"/>
    <col min="4613" max="4613" width="13" style="446" customWidth="1"/>
    <col min="4614" max="4867" width="11.42578125" style="446"/>
    <col min="4868" max="4868" width="10.42578125" style="446" customWidth="1"/>
    <col min="4869" max="4869" width="13" style="446" customWidth="1"/>
    <col min="4870" max="5123" width="11.42578125" style="446"/>
    <col min="5124" max="5124" width="10.42578125" style="446" customWidth="1"/>
    <col min="5125" max="5125" width="13" style="446" customWidth="1"/>
    <col min="5126" max="5379" width="11.42578125" style="446"/>
    <col min="5380" max="5380" width="10.42578125" style="446" customWidth="1"/>
    <col min="5381" max="5381" width="13" style="446" customWidth="1"/>
    <col min="5382" max="5635" width="11.42578125" style="446"/>
    <col min="5636" max="5636" width="10.42578125" style="446" customWidth="1"/>
    <col min="5637" max="5637" width="13" style="446" customWidth="1"/>
    <col min="5638" max="5891" width="11.42578125" style="446"/>
    <col min="5892" max="5892" width="10.42578125" style="446" customWidth="1"/>
    <col min="5893" max="5893" width="13" style="446" customWidth="1"/>
    <col min="5894" max="6147" width="11.42578125" style="446"/>
    <col min="6148" max="6148" width="10.42578125" style="446" customWidth="1"/>
    <col min="6149" max="6149" width="13" style="446" customWidth="1"/>
    <col min="6150" max="6403" width="11.42578125" style="446"/>
    <col min="6404" max="6404" width="10.42578125" style="446" customWidth="1"/>
    <col min="6405" max="6405" width="13" style="446" customWidth="1"/>
    <col min="6406" max="6659" width="11.42578125" style="446"/>
    <col min="6660" max="6660" width="10.42578125" style="446" customWidth="1"/>
    <col min="6661" max="6661" width="13" style="446" customWidth="1"/>
    <col min="6662" max="6915" width="11.42578125" style="446"/>
    <col min="6916" max="6916" width="10.42578125" style="446" customWidth="1"/>
    <col min="6917" max="6917" width="13" style="446" customWidth="1"/>
    <col min="6918" max="7171" width="11.42578125" style="446"/>
    <col min="7172" max="7172" width="10.42578125" style="446" customWidth="1"/>
    <col min="7173" max="7173" width="13" style="446" customWidth="1"/>
    <col min="7174" max="7427" width="11.42578125" style="446"/>
    <col min="7428" max="7428" width="10.42578125" style="446" customWidth="1"/>
    <col min="7429" max="7429" width="13" style="446" customWidth="1"/>
    <col min="7430" max="7683" width="11.42578125" style="446"/>
    <col min="7684" max="7684" width="10.42578125" style="446" customWidth="1"/>
    <col min="7685" max="7685" width="13" style="446" customWidth="1"/>
    <col min="7686" max="7939" width="11.42578125" style="446"/>
    <col min="7940" max="7940" width="10.42578125" style="446" customWidth="1"/>
    <col min="7941" max="7941" width="13" style="446" customWidth="1"/>
    <col min="7942" max="8195" width="11.42578125" style="446"/>
    <col min="8196" max="8196" width="10.42578125" style="446" customWidth="1"/>
    <col min="8197" max="8197" width="13" style="446" customWidth="1"/>
    <col min="8198" max="8451" width="11.42578125" style="446"/>
    <col min="8452" max="8452" width="10.42578125" style="446" customWidth="1"/>
    <col min="8453" max="8453" width="13" style="446" customWidth="1"/>
    <col min="8454" max="8707" width="11.42578125" style="446"/>
    <col min="8708" max="8708" width="10.42578125" style="446" customWidth="1"/>
    <col min="8709" max="8709" width="13" style="446" customWidth="1"/>
    <col min="8710" max="8963" width="11.42578125" style="446"/>
    <col min="8964" max="8964" width="10.42578125" style="446" customWidth="1"/>
    <col min="8965" max="8965" width="13" style="446" customWidth="1"/>
    <col min="8966" max="9219" width="11.42578125" style="446"/>
    <col min="9220" max="9220" width="10.42578125" style="446" customWidth="1"/>
    <col min="9221" max="9221" width="13" style="446" customWidth="1"/>
    <col min="9222" max="9475" width="11.42578125" style="446"/>
    <col min="9476" max="9476" width="10.42578125" style="446" customWidth="1"/>
    <col min="9477" max="9477" width="13" style="446" customWidth="1"/>
    <col min="9478" max="9731" width="11.42578125" style="446"/>
    <col min="9732" max="9732" width="10.42578125" style="446" customWidth="1"/>
    <col min="9733" max="9733" width="13" style="446" customWidth="1"/>
    <col min="9734" max="9987" width="11.42578125" style="446"/>
    <col min="9988" max="9988" width="10.42578125" style="446" customWidth="1"/>
    <col min="9989" max="9989" width="13" style="446" customWidth="1"/>
    <col min="9990" max="10243" width="11.42578125" style="446"/>
    <col min="10244" max="10244" width="10.42578125" style="446" customWidth="1"/>
    <col min="10245" max="10245" width="13" style="446" customWidth="1"/>
    <col min="10246" max="10499" width="11.42578125" style="446"/>
    <col min="10500" max="10500" width="10.42578125" style="446" customWidth="1"/>
    <col min="10501" max="10501" width="13" style="446" customWidth="1"/>
    <col min="10502" max="10755" width="11.42578125" style="446"/>
    <col min="10756" max="10756" width="10.42578125" style="446" customWidth="1"/>
    <col min="10757" max="10757" width="13" style="446" customWidth="1"/>
    <col min="10758" max="11011" width="11.42578125" style="446"/>
    <col min="11012" max="11012" width="10.42578125" style="446" customWidth="1"/>
    <col min="11013" max="11013" width="13" style="446" customWidth="1"/>
    <col min="11014" max="11267" width="11.42578125" style="446"/>
    <col min="11268" max="11268" width="10.42578125" style="446" customWidth="1"/>
    <col min="11269" max="11269" width="13" style="446" customWidth="1"/>
    <col min="11270" max="11523" width="11.42578125" style="446"/>
    <col min="11524" max="11524" width="10.42578125" style="446" customWidth="1"/>
    <col min="11525" max="11525" width="13" style="446" customWidth="1"/>
    <col min="11526" max="11779" width="11.42578125" style="446"/>
    <col min="11780" max="11780" width="10.42578125" style="446" customWidth="1"/>
    <col min="11781" max="11781" width="13" style="446" customWidth="1"/>
    <col min="11782" max="12035" width="11.42578125" style="446"/>
    <col min="12036" max="12036" width="10.42578125" style="446" customWidth="1"/>
    <col min="12037" max="12037" width="13" style="446" customWidth="1"/>
    <col min="12038" max="12291" width="11.42578125" style="446"/>
    <col min="12292" max="12292" width="10.42578125" style="446" customWidth="1"/>
    <col min="12293" max="12293" width="13" style="446" customWidth="1"/>
    <col min="12294" max="12547" width="11.42578125" style="446"/>
    <col min="12548" max="12548" width="10.42578125" style="446" customWidth="1"/>
    <col min="12549" max="12549" width="13" style="446" customWidth="1"/>
    <col min="12550" max="12803" width="11.42578125" style="446"/>
    <col min="12804" max="12804" width="10.42578125" style="446" customWidth="1"/>
    <col min="12805" max="12805" width="13" style="446" customWidth="1"/>
    <col min="12806" max="13059" width="11.42578125" style="446"/>
    <col min="13060" max="13060" width="10.42578125" style="446" customWidth="1"/>
    <col min="13061" max="13061" width="13" style="446" customWidth="1"/>
    <col min="13062" max="13315" width="11.42578125" style="446"/>
    <col min="13316" max="13316" width="10.42578125" style="446" customWidth="1"/>
    <col min="13317" max="13317" width="13" style="446" customWidth="1"/>
    <col min="13318" max="13571" width="11.42578125" style="446"/>
    <col min="13572" max="13572" width="10.42578125" style="446" customWidth="1"/>
    <col min="13573" max="13573" width="13" style="446" customWidth="1"/>
    <col min="13574" max="13827" width="11.42578125" style="446"/>
    <col min="13828" max="13828" width="10.42578125" style="446" customWidth="1"/>
    <col min="13829" max="13829" width="13" style="446" customWidth="1"/>
    <col min="13830" max="14083" width="11.42578125" style="446"/>
    <col min="14084" max="14084" width="10.42578125" style="446" customWidth="1"/>
    <col min="14085" max="14085" width="13" style="446" customWidth="1"/>
    <col min="14086" max="14339" width="11.42578125" style="446"/>
    <col min="14340" max="14340" width="10.42578125" style="446" customWidth="1"/>
    <col min="14341" max="14341" width="13" style="446" customWidth="1"/>
    <col min="14342" max="14595" width="11.42578125" style="446"/>
    <col min="14596" max="14596" width="10.42578125" style="446" customWidth="1"/>
    <col min="14597" max="14597" width="13" style="446" customWidth="1"/>
    <col min="14598" max="14851" width="11.42578125" style="446"/>
    <col min="14852" max="14852" width="10.42578125" style="446" customWidth="1"/>
    <col min="14853" max="14853" width="13" style="446" customWidth="1"/>
    <col min="14854" max="15107" width="11.42578125" style="446"/>
    <col min="15108" max="15108" width="10.42578125" style="446" customWidth="1"/>
    <col min="15109" max="15109" width="13" style="446" customWidth="1"/>
    <col min="15110" max="15363" width="11.42578125" style="446"/>
    <col min="15364" max="15364" width="10.42578125" style="446" customWidth="1"/>
    <col min="15365" max="15365" width="13" style="446" customWidth="1"/>
    <col min="15366" max="15619" width="11.42578125" style="446"/>
    <col min="15620" max="15620" width="10.42578125" style="446" customWidth="1"/>
    <col min="15621" max="15621" width="13" style="446" customWidth="1"/>
    <col min="15622" max="15875" width="11.42578125" style="446"/>
    <col min="15876" max="15876" width="10.42578125" style="446" customWidth="1"/>
    <col min="15877" max="15877" width="13" style="446" customWidth="1"/>
    <col min="15878" max="16131" width="11.42578125" style="446"/>
    <col min="16132" max="16132" width="10.42578125" style="446" customWidth="1"/>
    <col min="16133" max="16133" width="13" style="446" customWidth="1"/>
    <col min="16134" max="16384" width="11.42578125" style="446"/>
  </cols>
  <sheetData>
    <row r="1" spans="1:11" ht="15">
      <c r="A1" s="186" t="s">
        <v>77</v>
      </c>
    </row>
    <row r="2" spans="1:11" ht="13.5" thickBot="1"/>
    <row r="3" spans="1:11" ht="15" customHeight="1">
      <c r="A3" s="1348" t="s">
        <v>213</v>
      </c>
      <c r="B3" s="1349"/>
      <c r="C3" s="1350"/>
      <c r="D3" s="448"/>
      <c r="E3" s="448"/>
      <c r="F3" s="448"/>
      <c r="G3" s="448"/>
      <c r="H3" s="449"/>
    </row>
    <row r="4" spans="1:11" ht="15" customHeight="1">
      <c r="A4" s="1351"/>
      <c r="B4" s="1352"/>
      <c r="C4" s="1353"/>
      <c r="D4" s="436"/>
      <c r="E4" s="450" t="s">
        <v>78</v>
      </c>
      <c r="F4" s="436"/>
      <c r="G4" s="436"/>
      <c r="H4" s="451"/>
      <c r="I4" s="436"/>
      <c r="J4" s="436"/>
    </row>
    <row r="5" spans="1:11" ht="15.75" customHeight="1" thickBot="1">
      <c r="A5" s="1354"/>
      <c r="B5" s="1355"/>
      <c r="C5" s="1356"/>
      <c r="D5" s="1360"/>
      <c r="E5" s="1361"/>
      <c r="F5" s="1361"/>
      <c r="G5" s="1361"/>
      <c r="H5" s="1362"/>
      <c r="I5" s="483"/>
      <c r="J5" s="483"/>
    </row>
    <row r="6" spans="1:11">
      <c r="A6" s="455"/>
      <c r="B6" s="436"/>
      <c r="C6" s="436"/>
      <c r="D6" s="436"/>
      <c r="E6" s="436"/>
      <c r="F6" s="436"/>
      <c r="G6" s="436"/>
      <c r="H6" s="436"/>
      <c r="I6" s="436"/>
      <c r="J6" s="436"/>
    </row>
    <row r="7" spans="1:11">
      <c r="A7" s="455" t="s">
        <v>1146</v>
      </c>
      <c r="B7" s="456" t="str">
        <f>+PRESUPUESTO!$B$64</f>
        <v>MAMPOSTERIA</v>
      </c>
      <c r="C7" s="436"/>
      <c r="E7" s="456"/>
      <c r="G7" s="456" t="s">
        <v>1123</v>
      </c>
      <c r="H7" s="483" t="s">
        <v>36</v>
      </c>
      <c r="I7" s="436"/>
      <c r="J7" s="436"/>
    </row>
    <row r="8" spans="1:11" s="931" customFormat="1" ht="52.15" customHeight="1">
      <c r="A8" s="928" t="s">
        <v>1122</v>
      </c>
      <c r="B8" s="1375" t="str">
        <f>VLOOKUP(H7,PRESUPUESTO!$A$18:$F$251,2,FALSE)</f>
        <v>Suministro e instalación de muro en ladrillo portante 306x12 capuchino PH S2 para locales, para revocar una cara. Incluye el mortero de pega 1:4 espesor max=0.01 m y todos los demás elementos necesarios para su correcta construcción y funcionamiento.</v>
      </c>
      <c r="C8" s="1375"/>
      <c r="D8" s="1375"/>
      <c r="E8" s="1375"/>
      <c r="F8" s="1375"/>
      <c r="G8" s="929" t="s">
        <v>9</v>
      </c>
      <c r="H8" s="1024" t="str">
        <f>VLOOKUP(H7,PRESUPUESTO!$A$18:$F$251,3,FALSE)</f>
        <v>m2</v>
      </c>
    </row>
    <row r="9" spans="1:11">
      <c r="A9" s="456"/>
      <c r="B9" s="456"/>
      <c r="C9" s="436"/>
      <c r="D9" s="456"/>
      <c r="E9" s="456"/>
      <c r="F9" s="456"/>
      <c r="G9" s="456"/>
      <c r="H9" s="436"/>
      <c r="I9" s="436"/>
      <c r="J9" s="436"/>
    </row>
    <row r="10" spans="1:11" ht="13.5" thickBot="1">
      <c r="A10" s="450" t="s">
        <v>79</v>
      </c>
      <c r="B10" s="450"/>
      <c r="C10" s="436"/>
      <c r="D10" s="436"/>
      <c r="E10" s="436"/>
      <c r="F10" s="436"/>
      <c r="G10" s="436"/>
      <c r="H10" s="436"/>
      <c r="I10" s="436"/>
      <c r="J10" s="436"/>
    </row>
    <row r="11" spans="1:11">
      <c r="A11" s="1345" t="s">
        <v>80</v>
      </c>
      <c r="B11" s="1346"/>
      <c r="C11" s="1347"/>
      <c r="D11" s="438" t="s">
        <v>81</v>
      </c>
      <c r="E11" s="438" t="s">
        <v>82</v>
      </c>
      <c r="F11" s="438" t="s">
        <v>83</v>
      </c>
      <c r="G11" s="439" t="s">
        <v>84</v>
      </c>
      <c r="H11" s="457"/>
      <c r="I11" s="436"/>
      <c r="J11" s="436"/>
      <c r="K11" s="548"/>
    </row>
    <row r="12" spans="1:11">
      <c r="A12" s="1357" t="s">
        <v>85</v>
      </c>
      <c r="B12" s="1358"/>
      <c r="C12" s="1359"/>
      <c r="D12" s="459"/>
      <c r="E12" s="440"/>
      <c r="F12" s="440"/>
      <c r="G12" s="432">
        <f>ROUND(H37*0.05,0)</f>
        <v>2371</v>
      </c>
      <c r="H12" s="460"/>
      <c r="I12" s="436"/>
      <c r="J12" s="436"/>
    </row>
    <row r="13" spans="1:11">
      <c r="A13" s="1357" t="s">
        <v>215</v>
      </c>
      <c r="B13" s="1358"/>
      <c r="C13" s="1359"/>
      <c r="D13" s="461" t="s">
        <v>263</v>
      </c>
      <c r="E13" s="462">
        <v>16707</v>
      </c>
      <c r="F13" s="686">
        <v>0.2</v>
      </c>
      <c r="G13" s="432">
        <f>E13*F13</f>
        <v>3341.4</v>
      </c>
      <c r="H13" s="460"/>
      <c r="I13" s="436"/>
      <c r="J13" s="436"/>
    </row>
    <row r="14" spans="1:11" ht="13.5" thickBot="1">
      <c r="A14" s="1342" t="s">
        <v>239</v>
      </c>
      <c r="B14" s="1343"/>
      <c r="C14" s="1344"/>
      <c r="D14" s="464" t="s">
        <v>263</v>
      </c>
      <c r="E14" s="697">
        <f>41000*1.19</f>
        <v>48790</v>
      </c>
      <c r="F14" s="434">
        <v>0.2</v>
      </c>
      <c r="G14" s="441">
        <f>E14*F14</f>
        <v>9758</v>
      </c>
      <c r="H14" s="465"/>
      <c r="I14" s="436"/>
      <c r="J14" s="436"/>
    </row>
    <row r="15" spans="1:11" ht="13.5" thickBot="1">
      <c r="A15" s="436"/>
      <c r="B15" s="436"/>
      <c r="C15" s="436"/>
      <c r="D15" s="436"/>
      <c r="E15" s="436"/>
      <c r="F15" s="436"/>
      <c r="G15" s="437" t="s">
        <v>86</v>
      </c>
      <c r="H15" s="466">
        <f>SUM(G12:G14)</f>
        <v>15470.4</v>
      </c>
      <c r="I15" s="541"/>
      <c r="J15" s="541"/>
    </row>
    <row r="16" spans="1:11" ht="13.5" thickBot="1">
      <c r="A16" s="450" t="s">
        <v>87</v>
      </c>
      <c r="B16" s="450"/>
      <c r="C16" s="436"/>
      <c r="D16" s="436"/>
      <c r="E16" s="436"/>
      <c r="F16" s="436"/>
      <c r="G16" s="436"/>
      <c r="H16" s="436"/>
      <c r="I16" s="436"/>
      <c r="J16" s="436"/>
    </row>
    <row r="17" spans="1:10">
      <c r="A17" s="1345" t="s">
        <v>80</v>
      </c>
      <c r="B17" s="1346"/>
      <c r="C17" s="1347"/>
      <c r="D17" s="438" t="s">
        <v>88</v>
      </c>
      <c r="E17" s="438" t="s">
        <v>89</v>
      </c>
      <c r="F17" s="438" t="s">
        <v>90</v>
      </c>
      <c r="G17" s="439" t="s">
        <v>84</v>
      </c>
      <c r="H17" s="457"/>
      <c r="I17" s="436"/>
      <c r="J17" s="436"/>
    </row>
    <row r="18" spans="1:10">
      <c r="A18" s="458" t="s">
        <v>264</v>
      </c>
      <c r="B18" s="467"/>
      <c r="C18" s="468"/>
      <c r="D18" s="459" t="s">
        <v>216</v>
      </c>
      <c r="E18" s="430">
        <v>3250</v>
      </c>
      <c r="F18" s="686">
        <v>48</v>
      </c>
      <c r="G18" s="432">
        <f>ROUND(F18*E18,0)</f>
        <v>156000</v>
      </c>
      <c r="H18" s="460"/>
      <c r="I18" s="436"/>
    </row>
    <row r="19" spans="1:10">
      <c r="A19" s="469" t="s">
        <v>217</v>
      </c>
      <c r="B19" s="467"/>
      <c r="C19" s="468"/>
      <c r="D19" s="459" t="s">
        <v>234</v>
      </c>
      <c r="E19" s="674">
        <f>APA!$H$38</f>
        <v>515738.39333333331</v>
      </c>
      <c r="F19" s="431">
        <f>((1/0.06)*0.12*1+(1/0.29)*0.12)*0.015</f>
        <v>3.6206896551724134E-2</v>
      </c>
      <c r="G19" s="432">
        <f>ROUND(F19*E19,0)</f>
        <v>18673</v>
      </c>
      <c r="H19" s="460"/>
      <c r="I19" s="436"/>
      <c r="J19" s="436"/>
    </row>
    <row r="20" spans="1:10">
      <c r="A20" s="469" t="s">
        <v>341</v>
      </c>
      <c r="B20" s="467"/>
      <c r="C20" s="468"/>
      <c r="D20" s="459" t="s">
        <v>268</v>
      </c>
      <c r="E20" s="430">
        <v>5000</v>
      </c>
      <c r="F20" s="431">
        <v>1</v>
      </c>
      <c r="G20" s="432">
        <f>ROUND(F20*E20,0)</f>
        <v>5000</v>
      </c>
      <c r="H20" s="460"/>
    </row>
    <row r="21" spans="1:10">
      <c r="A21" s="469" t="s">
        <v>93</v>
      </c>
      <c r="B21" s="467"/>
      <c r="C21" s="471">
        <v>0.05</v>
      </c>
      <c r="D21" s="459"/>
      <c r="E21" s="430"/>
      <c r="F21" s="431"/>
      <c r="G21" s="432">
        <f>SUM(G18:G20)*C21</f>
        <v>8983.65</v>
      </c>
      <c r="H21" s="460"/>
      <c r="I21" s="436"/>
      <c r="J21" s="436"/>
    </row>
    <row r="22" spans="1:10">
      <c r="A22" s="469"/>
      <c r="B22" s="467"/>
      <c r="C22" s="468"/>
      <c r="D22" s="459"/>
      <c r="E22" s="430"/>
      <c r="F22" s="431"/>
      <c r="G22" s="432"/>
      <c r="H22" s="460"/>
      <c r="I22" s="436"/>
      <c r="J22" s="436"/>
    </row>
    <row r="23" spans="1:10" ht="13.5" thickBot="1">
      <c r="A23" s="472"/>
      <c r="B23" s="473"/>
      <c r="C23" s="474"/>
      <c r="D23" s="464"/>
      <c r="E23" s="433"/>
      <c r="F23" s="434"/>
      <c r="G23" s="435"/>
      <c r="H23" s="465"/>
      <c r="I23" s="436"/>
      <c r="J23" s="436"/>
    </row>
    <row r="24" spans="1:10" ht="13.5" thickBot="1">
      <c r="A24" s="436"/>
      <c r="B24" s="436"/>
      <c r="C24" s="436"/>
      <c r="D24" s="436"/>
      <c r="E24" s="436"/>
      <c r="F24" s="436"/>
      <c r="G24" s="437" t="s">
        <v>86</v>
      </c>
      <c r="H24" s="466">
        <f>SUM(G18:G23)</f>
        <v>188656.65</v>
      </c>
      <c r="I24" s="541"/>
      <c r="J24" s="541"/>
    </row>
    <row r="25" spans="1:10" ht="13.5" thickBot="1">
      <c r="A25" s="450" t="s">
        <v>94</v>
      </c>
      <c r="B25" s="450"/>
      <c r="C25" s="436"/>
      <c r="D25" s="436"/>
      <c r="E25" s="436"/>
      <c r="F25" s="436"/>
      <c r="G25" s="436"/>
      <c r="H25" s="436"/>
      <c r="I25" s="436"/>
      <c r="J25" s="436"/>
    </row>
    <row r="26" spans="1:10">
      <c r="A26" s="1345" t="s">
        <v>95</v>
      </c>
      <c r="B26" s="1346"/>
      <c r="C26" s="1347"/>
      <c r="D26" s="438" t="s">
        <v>88</v>
      </c>
      <c r="E26" s="438" t="s">
        <v>89</v>
      </c>
      <c r="F26" s="438" t="s">
        <v>90</v>
      </c>
      <c r="G26" s="439" t="s">
        <v>84</v>
      </c>
      <c r="H26" s="457"/>
      <c r="I26" s="436"/>
      <c r="J26" s="436"/>
    </row>
    <row r="27" spans="1:10" customFormat="1" ht="15.75" thickBot="1">
      <c r="A27" s="1342" t="s">
        <v>673</v>
      </c>
      <c r="B27" s="1343"/>
      <c r="C27" s="1344"/>
      <c r="D27" s="475" t="s">
        <v>674</v>
      </c>
      <c r="E27" s="433">
        <v>165000</v>
      </c>
      <c r="F27" s="549">
        <f>(1/2500)*2.7*F18</f>
        <v>5.1840000000000011E-2</v>
      </c>
      <c r="G27" s="441">
        <f>+E27*F27</f>
        <v>8553.6000000000022</v>
      </c>
      <c r="H27" s="460"/>
    </row>
    <row r="28" spans="1:10" ht="13.5" thickBot="1">
      <c r="A28" s="1342" t="s">
        <v>235</v>
      </c>
      <c r="B28" s="1343"/>
      <c r="C28" s="1344"/>
      <c r="D28" s="475" t="s">
        <v>216</v>
      </c>
      <c r="E28" s="433">
        <v>80</v>
      </c>
      <c r="F28" s="434">
        <f>+F18</f>
        <v>48</v>
      </c>
      <c r="G28" s="441">
        <f>+F28*E28</f>
        <v>3840</v>
      </c>
      <c r="H28" s="460"/>
      <c r="I28" s="436"/>
      <c r="J28" s="436"/>
    </row>
    <row r="29" spans="1:10" ht="13.5" thickBot="1">
      <c r="A29" s="436"/>
      <c r="B29" s="436"/>
      <c r="C29" s="436"/>
      <c r="D29" s="436"/>
      <c r="E29" s="436"/>
      <c r="F29" s="436"/>
      <c r="G29" s="437" t="s">
        <v>86</v>
      </c>
      <c r="H29" s="466">
        <f>SUM(G27:G28)</f>
        <v>12393.600000000002</v>
      </c>
      <c r="I29" s="541"/>
      <c r="J29" s="541"/>
    </row>
    <row r="30" spans="1:10" ht="13.5" thickBot="1">
      <c r="A30" s="450" t="s">
        <v>96</v>
      </c>
      <c r="B30" s="450"/>
      <c r="C30" s="436"/>
      <c r="D30" s="436"/>
      <c r="E30" s="436"/>
      <c r="F30" s="436"/>
      <c r="G30" s="436"/>
      <c r="H30" s="436"/>
      <c r="I30" s="436"/>
      <c r="J30" s="436"/>
    </row>
    <row r="31" spans="1:10">
      <c r="A31" s="476" t="s">
        <v>97</v>
      </c>
      <c r="B31" s="438"/>
      <c r="C31" s="438" t="s">
        <v>98</v>
      </c>
      <c r="D31" s="438" t="s">
        <v>99</v>
      </c>
      <c r="E31" s="442" t="s">
        <v>100</v>
      </c>
      <c r="F31" s="443" t="s">
        <v>83</v>
      </c>
      <c r="G31" s="444" t="s">
        <v>84</v>
      </c>
      <c r="H31" s="477"/>
      <c r="I31" s="436"/>
      <c r="J31" s="436"/>
    </row>
    <row r="32" spans="1:10">
      <c r="A32" s="478" t="s">
        <v>227</v>
      </c>
      <c r="B32" s="468"/>
      <c r="C32" s="479">
        <f>PERSONAL!$E$31</f>
        <v>48800</v>
      </c>
      <c r="D32" s="480">
        <f>PERSONAL!$F$31</f>
        <v>1.7431000000000001</v>
      </c>
      <c r="E32" s="440">
        <f>+D32*C32</f>
        <v>85063.28</v>
      </c>
      <c r="F32" s="686">
        <v>5</v>
      </c>
      <c r="G32" s="445">
        <f>ROUND(E32/F32,0)</f>
        <v>17013</v>
      </c>
      <c r="H32" s="451"/>
      <c r="I32" s="436"/>
      <c r="J32" s="436"/>
    </row>
    <row r="33" spans="1:10">
      <c r="A33" s="478" t="s">
        <v>101</v>
      </c>
      <c r="B33" s="467"/>
      <c r="C33" s="479">
        <f>PERSONAL!$E$32</f>
        <v>87200</v>
      </c>
      <c r="D33" s="480">
        <f>PERSONAL!$F$31</f>
        <v>1.7431000000000001</v>
      </c>
      <c r="E33" s="440">
        <f>+D33*C33</f>
        <v>151998.32</v>
      </c>
      <c r="F33" s="686">
        <v>5</v>
      </c>
      <c r="G33" s="445">
        <f>ROUND(E33/F33,0)</f>
        <v>30400</v>
      </c>
      <c r="H33" s="451"/>
      <c r="I33" s="436"/>
      <c r="J33" s="436"/>
    </row>
    <row r="34" spans="1:10">
      <c r="A34" s="478"/>
      <c r="B34" s="468"/>
      <c r="C34" s="430"/>
      <c r="D34" s="459"/>
      <c r="E34" s="430"/>
      <c r="F34" s="440"/>
      <c r="G34" s="445"/>
      <c r="H34" s="451"/>
      <c r="I34" s="436"/>
      <c r="J34" s="436"/>
    </row>
    <row r="35" spans="1:10">
      <c r="A35" s="478"/>
      <c r="B35" s="468"/>
      <c r="C35" s="430"/>
      <c r="D35" s="459"/>
      <c r="E35" s="430"/>
      <c r="F35" s="440"/>
      <c r="G35" s="445"/>
      <c r="H35" s="451"/>
      <c r="I35" s="436"/>
      <c r="J35" s="436"/>
    </row>
    <row r="36" spans="1:10" ht="13.5" thickBot="1">
      <c r="A36" s="481"/>
      <c r="B36" s="474"/>
      <c r="C36" s="474"/>
      <c r="D36" s="474"/>
      <c r="E36" s="474"/>
      <c r="F36" s="474"/>
      <c r="G36" s="482"/>
      <c r="H36" s="482"/>
      <c r="I36" s="436"/>
      <c r="J36" s="436"/>
    </row>
    <row r="37" spans="1:10">
      <c r="A37" s="436"/>
      <c r="B37" s="436"/>
      <c r="C37" s="436"/>
      <c r="D37" s="436"/>
      <c r="E37" s="436"/>
      <c r="F37" s="436"/>
      <c r="G37" s="437" t="s">
        <v>86</v>
      </c>
      <c r="H37" s="466">
        <f>SUM(G32:G36)</f>
        <v>47413</v>
      </c>
      <c r="I37" s="541"/>
      <c r="J37" s="541"/>
    </row>
    <row r="38" spans="1:10" ht="13.5" thickBot="1">
      <c r="A38" s="436"/>
      <c r="B38" s="436"/>
      <c r="C38" s="436"/>
      <c r="D38" s="436"/>
      <c r="E38" s="436"/>
      <c r="F38" s="436"/>
      <c r="G38" s="483"/>
      <c r="H38" s="436"/>
      <c r="I38" s="436"/>
      <c r="J38" s="436"/>
    </row>
    <row r="39" spans="1:10" ht="13.5" thickBot="1">
      <c r="A39" s="436"/>
      <c r="B39" s="436"/>
      <c r="C39" s="436"/>
      <c r="D39" s="436"/>
      <c r="E39" s="484" t="s">
        <v>102</v>
      </c>
      <c r="F39" s="485"/>
      <c r="G39" s="485"/>
      <c r="H39" s="466">
        <f>H15+H24+H29+H37</f>
        <v>263933.65000000002</v>
      </c>
      <c r="I39" s="541"/>
      <c r="J39" s="541"/>
    </row>
    <row r="40" spans="1:10" customFormat="1" ht="15.75" thickBot="1">
      <c r="A40" s="450" t="s">
        <v>103</v>
      </c>
      <c r="B40" s="450"/>
      <c r="C40" s="436"/>
      <c r="D40" s="436"/>
      <c r="E40" s="436"/>
      <c r="F40" s="436"/>
      <c r="G40" s="436"/>
      <c r="H40" s="436"/>
    </row>
    <row r="41" spans="1:10" customFormat="1" ht="15">
      <c r="A41" s="487" t="s">
        <v>80</v>
      </c>
      <c r="B41" s="488"/>
      <c r="C41" s="488"/>
      <c r="D41" s="488"/>
      <c r="E41" s="489"/>
      <c r="F41" s="490" t="s">
        <v>104</v>
      </c>
      <c r="G41" s="491" t="s">
        <v>105</v>
      </c>
      <c r="H41" s="457"/>
    </row>
    <row r="42" spans="1:10" customFormat="1" ht="15">
      <c r="A42" s="469" t="s">
        <v>106</v>
      </c>
      <c r="B42" s="467"/>
      <c r="C42" s="467"/>
      <c r="D42" s="467"/>
      <c r="E42" s="468"/>
      <c r="F42" s="492">
        <f>PRESUPUESTO!$E$222</f>
        <v>0.109</v>
      </c>
      <c r="G42" s="493">
        <f>+F42*H39</f>
        <v>28768.767850000004</v>
      </c>
      <c r="H42" s="460"/>
    </row>
    <row r="43" spans="1:10" customFormat="1" ht="15.75" thickBot="1">
      <c r="A43" s="472" t="s">
        <v>108</v>
      </c>
      <c r="B43" s="473"/>
      <c r="C43" s="473"/>
      <c r="D43" s="473"/>
      <c r="E43" s="474"/>
      <c r="F43" s="494">
        <f>PRESUPUESTO!$E$223</f>
        <v>0.05</v>
      </c>
      <c r="G43" s="495">
        <f>+F43*H39</f>
        <v>13196.682500000003</v>
      </c>
      <c r="H43" s="465"/>
    </row>
    <row r="44" spans="1:10" customFormat="1" ht="15.75" thickBot="1">
      <c r="A44" s="436"/>
      <c r="B44" s="436"/>
      <c r="C44" s="436"/>
      <c r="D44" s="436"/>
      <c r="E44" s="436"/>
      <c r="F44" s="436"/>
      <c r="G44" s="437" t="s">
        <v>86</v>
      </c>
      <c r="H44" s="496">
        <f>SUM(G42:G43)</f>
        <v>41965.450350000006</v>
      </c>
    </row>
    <row r="45" spans="1:10" customFormat="1" ht="15.75" thickBot="1">
      <c r="A45" s="436"/>
      <c r="B45" s="436"/>
      <c r="C45" s="436"/>
      <c r="D45" s="436"/>
      <c r="E45" s="436"/>
      <c r="F45" s="436"/>
      <c r="G45" s="436"/>
      <c r="H45" s="436"/>
    </row>
    <row r="46" spans="1:10" customFormat="1" ht="15.75" thickBot="1">
      <c r="A46" s="446"/>
      <c r="B46" s="446"/>
      <c r="C46" s="436"/>
      <c r="D46" s="484" t="s">
        <v>109</v>
      </c>
      <c r="E46" s="485"/>
      <c r="F46" s="485"/>
      <c r="G46" s="485"/>
      <c r="H46" s="466">
        <f>ROUND((H39+H44),0)</f>
        <v>305899</v>
      </c>
    </row>
    <row r="48" spans="1:10" ht="15">
      <c r="A48" s="186" t="s">
        <v>77</v>
      </c>
    </row>
    <row r="49" spans="1:10" ht="13.5" thickBot="1"/>
    <row r="50" spans="1:10" ht="15" customHeight="1">
      <c r="A50" s="1348" t="s">
        <v>213</v>
      </c>
      <c r="B50" s="1349"/>
      <c r="C50" s="1350"/>
      <c r="D50" s="448"/>
      <c r="E50" s="448"/>
      <c r="F50" s="448"/>
      <c r="G50" s="448"/>
      <c r="H50" s="449"/>
    </row>
    <row r="51" spans="1:10" ht="15" customHeight="1">
      <c r="A51" s="1351"/>
      <c r="B51" s="1352"/>
      <c r="C51" s="1353"/>
      <c r="D51" s="436"/>
      <c r="E51" s="450" t="s">
        <v>78</v>
      </c>
      <c r="F51" s="436"/>
      <c r="G51" s="436"/>
      <c r="H51" s="451"/>
    </row>
    <row r="52" spans="1:10" ht="15" customHeight="1" thickBot="1">
      <c r="A52" s="1354"/>
      <c r="B52" s="1355"/>
      <c r="C52" s="1356"/>
      <c r="D52" s="1360"/>
      <c r="E52" s="1361"/>
      <c r="F52" s="1361"/>
      <c r="G52" s="1361"/>
      <c r="H52" s="1362"/>
    </row>
    <row r="53" spans="1:10">
      <c r="A53" s="455"/>
      <c r="B53" s="436"/>
      <c r="C53" s="436"/>
      <c r="D53" s="436"/>
      <c r="E53" s="436"/>
      <c r="F53" s="436"/>
      <c r="G53" s="436"/>
      <c r="H53" s="436"/>
    </row>
    <row r="54" spans="1:10">
      <c r="A54" s="455" t="s">
        <v>1146</v>
      </c>
      <c r="B54" s="456" t="str">
        <f>+PRESUPUESTO!$B$64</f>
        <v>MAMPOSTERIA</v>
      </c>
      <c r="C54" s="436"/>
      <c r="E54" s="456"/>
      <c r="G54" s="456" t="s">
        <v>1123</v>
      </c>
      <c r="H54" s="483" t="s">
        <v>538</v>
      </c>
      <c r="I54" s="436"/>
      <c r="J54" s="436"/>
    </row>
    <row r="55" spans="1:10" s="931" customFormat="1" ht="52.15" customHeight="1">
      <c r="A55" s="928" t="s">
        <v>1122</v>
      </c>
      <c r="B55" s="1375" t="str">
        <f>VLOOKUP(H54,PRESUPUESTO!$A$18:$F$251,2,FALSE)</f>
        <v>Suministro e instalación muro adobe de 10 de 6 huecos para locales. Incluye el mortero de pega 1:4 espesor max=0.01 m y todos los demás elementos necesarios para su correcta construcción y funcionamiento.</v>
      </c>
      <c r="C55" s="1375"/>
      <c r="D55" s="1375"/>
      <c r="E55" s="1375"/>
      <c r="F55" s="1375"/>
      <c r="G55" s="929" t="s">
        <v>9</v>
      </c>
      <c r="H55" s="1024" t="str">
        <f>VLOOKUP(H54,PRESUPUESTO!$A$18:$F$251,3,FALSE)</f>
        <v>m2</v>
      </c>
    </row>
    <row r="56" spans="1:10">
      <c r="A56" s="456"/>
      <c r="B56" s="456"/>
      <c r="C56" s="436"/>
      <c r="D56" s="456"/>
      <c r="E56" s="456"/>
      <c r="F56" s="456"/>
      <c r="G56" s="456"/>
      <c r="H56" s="436"/>
    </row>
    <row r="57" spans="1:10" ht="13.5" thickBot="1">
      <c r="A57" s="450" t="s">
        <v>79</v>
      </c>
      <c r="B57" s="450"/>
      <c r="C57" s="436"/>
      <c r="D57" s="436"/>
      <c r="E57" s="436"/>
      <c r="F57" s="436"/>
      <c r="G57" s="436"/>
      <c r="H57" s="436"/>
    </row>
    <row r="58" spans="1:10">
      <c r="A58" s="1345" t="s">
        <v>80</v>
      </c>
      <c r="B58" s="1346"/>
      <c r="C58" s="1347"/>
      <c r="D58" s="438" t="s">
        <v>81</v>
      </c>
      <c r="E58" s="438" t="s">
        <v>82</v>
      </c>
      <c r="F58" s="438" t="s">
        <v>83</v>
      </c>
      <c r="G58" s="439" t="s">
        <v>84</v>
      </c>
      <c r="H58" s="457"/>
    </row>
    <row r="59" spans="1:10">
      <c r="A59" s="1357" t="s">
        <v>85</v>
      </c>
      <c r="B59" s="1358"/>
      <c r="C59" s="1359"/>
      <c r="D59" s="459"/>
      <c r="E59" s="440"/>
      <c r="F59" s="440"/>
      <c r="G59" s="432">
        <f>ROUND(H84*0.05,0)</f>
        <v>1580</v>
      </c>
      <c r="H59" s="460"/>
    </row>
    <row r="60" spans="1:10">
      <c r="A60" s="1357" t="s">
        <v>215</v>
      </c>
      <c r="B60" s="1358"/>
      <c r="C60" s="1359"/>
      <c r="D60" s="461" t="s">
        <v>263</v>
      </c>
      <c r="E60" s="681">
        <f>+E13</f>
        <v>16707</v>
      </c>
      <c r="F60" s="686">
        <v>0.2</v>
      </c>
      <c r="G60" s="432">
        <f>E60*F60</f>
        <v>3341.4</v>
      </c>
      <c r="H60" s="460"/>
    </row>
    <row r="61" spans="1:10" ht="13.5" thickBot="1">
      <c r="A61" s="1342" t="s">
        <v>239</v>
      </c>
      <c r="B61" s="1343"/>
      <c r="C61" s="1344"/>
      <c r="D61" s="464" t="s">
        <v>263</v>
      </c>
      <c r="E61" s="681">
        <f>+E14</f>
        <v>48790</v>
      </c>
      <c r="F61" s="686">
        <v>0.2</v>
      </c>
      <c r="G61" s="441">
        <f>E61*F61</f>
        <v>9758</v>
      </c>
      <c r="H61" s="465"/>
    </row>
    <row r="62" spans="1:10" ht="13.5" thickBot="1">
      <c r="A62" s="436"/>
      <c r="B62" s="436"/>
      <c r="C62" s="436"/>
      <c r="D62" s="436"/>
      <c r="E62" s="436"/>
      <c r="F62" s="436"/>
      <c r="G62" s="437" t="s">
        <v>86</v>
      </c>
      <c r="H62" s="466">
        <f>SUM(G59:G61)</f>
        <v>14679.4</v>
      </c>
    </row>
    <row r="63" spans="1:10" ht="13.5" thickBot="1">
      <c r="A63" s="450" t="s">
        <v>87</v>
      </c>
      <c r="B63" s="450"/>
      <c r="C63" s="436"/>
      <c r="D63" s="436"/>
      <c r="E63" s="436"/>
      <c r="F63" s="436"/>
      <c r="G63" s="436"/>
      <c r="H63" s="436"/>
    </row>
    <row r="64" spans="1:10">
      <c r="A64" s="1345" t="s">
        <v>80</v>
      </c>
      <c r="B64" s="1346"/>
      <c r="C64" s="1347"/>
      <c r="D64" s="438" t="s">
        <v>88</v>
      </c>
      <c r="E64" s="438" t="s">
        <v>89</v>
      </c>
      <c r="F64" s="438" t="s">
        <v>90</v>
      </c>
      <c r="G64" s="439" t="s">
        <v>84</v>
      </c>
      <c r="H64" s="457"/>
    </row>
    <row r="65" spans="1:10">
      <c r="A65" s="458" t="s">
        <v>265</v>
      </c>
      <c r="B65" s="467"/>
      <c r="C65" s="468"/>
      <c r="D65" s="459" t="s">
        <v>216</v>
      </c>
      <c r="E65" s="430">
        <f>1500*1.2</f>
        <v>1800</v>
      </c>
      <c r="F65" s="686">
        <v>12.5</v>
      </c>
      <c r="G65" s="432">
        <f>ROUND(F65*E65,0)</f>
        <v>22500</v>
      </c>
      <c r="H65" s="460"/>
      <c r="I65" s="436"/>
    </row>
    <row r="66" spans="1:10">
      <c r="A66" s="469" t="s">
        <v>217</v>
      </c>
      <c r="B66" s="467"/>
      <c r="C66" s="468"/>
      <c r="D66" s="459" t="s">
        <v>234</v>
      </c>
      <c r="E66" s="430">
        <f>APA!$H$38</f>
        <v>515738.39333333331</v>
      </c>
      <c r="F66" s="431">
        <f>((1/0.2)*0.12*1+(1/0.3)*0.12)*0.015</f>
        <v>1.4999999999999999E-2</v>
      </c>
      <c r="G66" s="432">
        <f>ROUND(F66*E66,0)</f>
        <v>7736</v>
      </c>
      <c r="H66" s="460"/>
      <c r="I66" s="436"/>
    </row>
    <row r="67" spans="1:10">
      <c r="A67" s="469" t="s">
        <v>341</v>
      </c>
      <c r="B67" s="467"/>
      <c r="C67" s="468"/>
      <c r="D67" s="459" t="s">
        <v>268</v>
      </c>
      <c r="E67" s="430">
        <v>1200</v>
      </c>
      <c r="F67" s="431">
        <v>1</v>
      </c>
      <c r="G67" s="706">
        <v>500</v>
      </c>
      <c r="H67" s="460"/>
    </row>
    <row r="68" spans="1:10">
      <c r="A68" s="469" t="s">
        <v>93</v>
      </c>
      <c r="B68" s="467"/>
      <c r="C68" s="471">
        <v>0.05</v>
      </c>
      <c r="D68" s="459"/>
      <c r="E68" s="430"/>
      <c r="F68" s="431"/>
      <c r="G68" s="432">
        <f>SUM(G65:G67)*C68</f>
        <v>1536.8000000000002</v>
      </c>
      <c r="H68" s="460"/>
    </row>
    <row r="69" spans="1:10">
      <c r="A69" s="469"/>
      <c r="B69" s="467"/>
      <c r="C69" s="468"/>
      <c r="D69" s="459"/>
      <c r="E69" s="430"/>
      <c r="F69" s="431"/>
      <c r="G69" s="432"/>
      <c r="H69" s="460"/>
    </row>
    <row r="70" spans="1:10" ht="13.5" thickBot="1">
      <c r="A70" s="472"/>
      <c r="B70" s="473"/>
      <c r="C70" s="474"/>
      <c r="D70" s="464"/>
      <c r="E70" s="433"/>
      <c r="F70" s="434"/>
      <c r="G70" s="435"/>
      <c r="H70" s="465"/>
    </row>
    <row r="71" spans="1:10" ht="13.5" thickBot="1">
      <c r="A71" s="436"/>
      <c r="B71" s="436"/>
      <c r="C71" s="436"/>
      <c r="D71" s="436"/>
      <c r="E71" s="436"/>
      <c r="F71" s="436"/>
      <c r="G71" s="437" t="s">
        <v>86</v>
      </c>
      <c r="H71" s="466">
        <f>SUM(G65:G70)</f>
        <v>32272.799999999999</v>
      </c>
    </row>
    <row r="72" spans="1:10" ht="13.5" thickBot="1">
      <c r="A72" s="450" t="s">
        <v>94</v>
      </c>
      <c r="B72" s="450"/>
      <c r="C72" s="436"/>
      <c r="D72" s="436"/>
      <c r="E72" s="436"/>
      <c r="F72" s="436"/>
      <c r="G72" s="436"/>
      <c r="H72" s="436"/>
    </row>
    <row r="73" spans="1:10">
      <c r="A73" s="1345" t="s">
        <v>95</v>
      </c>
      <c r="B73" s="1346"/>
      <c r="C73" s="1347"/>
      <c r="D73" s="438" t="s">
        <v>88</v>
      </c>
      <c r="E73" s="438" t="s">
        <v>89</v>
      </c>
      <c r="F73" s="438" t="s">
        <v>90</v>
      </c>
      <c r="G73" s="439" t="s">
        <v>84</v>
      </c>
      <c r="H73" s="457"/>
    </row>
    <row r="74" spans="1:10" customFormat="1" ht="15.75" thickBot="1">
      <c r="A74" s="1342" t="s">
        <v>673</v>
      </c>
      <c r="B74" s="1343"/>
      <c r="C74" s="1344"/>
      <c r="D74" s="475" t="s">
        <v>674</v>
      </c>
      <c r="E74" s="433">
        <v>165000</v>
      </c>
      <c r="F74" s="549">
        <f>(1/2000)*5*F65</f>
        <v>3.125E-2</v>
      </c>
      <c r="G74" s="441">
        <f>+E74*F74</f>
        <v>5156.25</v>
      </c>
      <c r="H74" s="460"/>
    </row>
    <row r="75" spans="1:10" ht="13.5" thickBot="1">
      <c r="A75" s="1342" t="s">
        <v>235</v>
      </c>
      <c r="B75" s="1343"/>
      <c r="C75" s="1344"/>
      <c r="D75" s="475" t="s">
        <v>216</v>
      </c>
      <c r="E75" s="433">
        <v>150</v>
      </c>
      <c r="F75" s="434">
        <f>+F65</f>
        <v>12.5</v>
      </c>
      <c r="G75" s="441">
        <f>+F75*E75</f>
        <v>1875</v>
      </c>
      <c r="H75" s="460"/>
      <c r="I75" s="436"/>
      <c r="J75" s="436"/>
    </row>
    <row r="76" spans="1:10" ht="13.5" thickBot="1">
      <c r="A76" s="436"/>
      <c r="B76" s="436"/>
      <c r="C76" s="436"/>
      <c r="D76" s="436"/>
      <c r="E76" s="436"/>
      <c r="F76" s="436"/>
      <c r="G76" s="437" t="s">
        <v>86</v>
      </c>
      <c r="H76" s="466">
        <f>SUM(G74:G75)</f>
        <v>7031.25</v>
      </c>
    </row>
    <row r="77" spans="1:10" ht="13.5" thickBot="1">
      <c r="A77" s="450" t="s">
        <v>96</v>
      </c>
      <c r="B77" s="450"/>
      <c r="C77" s="436"/>
      <c r="D77" s="436"/>
      <c r="E77" s="436"/>
      <c r="F77" s="436"/>
      <c r="G77" s="436"/>
      <c r="H77" s="436"/>
    </row>
    <row r="78" spans="1:10">
      <c r="A78" s="476" t="s">
        <v>97</v>
      </c>
      <c r="B78" s="438"/>
      <c r="C78" s="438" t="s">
        <v>98</v>
      </c>
      <c r="D78" s="438" t="s">
        <v>99</v>
      </c>
      <c r="E78" s="442" t="s">
        <v>100</v>
      </c>
      <c r="F78" s="443" t="s">
        <v>83</v>
      </c>
      <c r="G78" s="444" t="s">
        <v>84</v>
      </c>
      <c r="H78" s="477"/>
    </row>
    <row r="79" spans="1:10">
      <c r="A79" s="478" t="s">
        <v>227</v>
      </c>
      <c r="B79" s="468"/>
      <c r="C79" s="479">
        <f>PERSONAL!$E$31</f>
        <v>48800</v>
      </c>
      <c r="D79" s="480">
        <f>PERSONAL!$F$31</f>
        <v>1.7431000000000001</v>
      </c>
      <c r="E79" s="440">
        <f>+D79*C79</f>
        <v>85063.28</v>
      </c>
      <c r="F79" s="440">
        <v>7.5</v>
      </c>
      <c r="G79" s="445">
        <f>ROUND(E79/F79,0)</f>
        <v>11342</v>
      </c>
      <c r="H79" s="451"/>
    </row>
    <row r="80" spans="1:10">
      <c r="A80" s="478" t="s">
        <v>101</v>
      </c>
      <c r="B80" s="467"/>
      <c r="C80" s="479">
        <f>PERSONAL!$E$32</f>
        <v>87200</v>
      </c>
      <c r="D80" s="480">
        <f>PERSONAL!$F$31</f>
        <v>1.7431000000000001</v>
      </c>
      <c r="E80" s="440">
        <f>+D80*C80</f>
        <v>151998.32</v>
      </c>
      <c r="F80" s="440">
        <f>+F79</f>
        <v>7.5</v>
      </c>
      <c r="G80" s="445">
        <f>ROUND(E80/F80,0)</f>
        <v>20266</v>
      </c>
      <c r="H80" s="451"/>
    </row>
    <row r="81" spans="1:8">
      <c r="A81" s="478"/>
      <c r="B81" s="468"/>
      <c r="C81" s="430"/>
      <c r="D81" s="459"/>
      <c r="E81" s="430"/>
      <c r="F81" s="440"/>
      <c r="G81" s="445"/>
      <c r="H81" s="451"/>
    </row>
    <row r="82" spans="1:8">
      <c r="A82" s="478"/>
      <c r="B82" s="468"/>
      <c r="C82" s="430"/>
      <c r="D82" s="459"/>
      <c r="E82" s="430"/>
      <c r="F82" s="440"/>
      <c r="G82" s="445"/>
      <c r="H82" s="451"/>
    </row>
    <row r="83" spans="1:8" ht="13.5" thickBot="1">
      <c r="A83" s="481"/>
      <c r="B83" s="474"/>
      <c r="C83" s="474"/>
      <c r="D83" s="474"/>
      <c r="E83" s="474"/>
      <c r="F83" s="474"/>
      <c r="G83" s="482"/>
      <c r="H83" s="482"/>
    </row>
    <row r="84" spans="1:8" ht="13.5" thickBot="1">
      <c r="A84" s="436"/>
      <c r="B84" s="436"/>
      <c r="C84" s="436"/>
      <c r="D84" s="436"/>
      <c r="E84" s="436"/>
      <c r="F84" s="436"/>
      <c r="G84" s="437" t="s">
        <v>86</v>
      </c>
      <c r="H84" s="466">
        <f>SUM(G79:G83)</f>
        <v>31608</v>
      </c>
    </row>
    <row r="85" spans="1:8" ht="13.5" thickBot="1">
      <c r="A85" s="436"/>
      <c r="B85" s="436"/>
      <c r="C85" s="436"/>
      <c r="D85" s="436"/>
      <c r="E85" s="436"/>
      <c r="F85" s="436"/>
      <c r="G85" s="483"/>
      <c r="H85" s="436"/>
    </row>
    <row r="86" spans="1:8" ht="13.5" thickBot="1">
      <c r="A86" s="436"/>
      <c r="B86" s="436"/>
      <c r="C86" s="436"/>
      <c r="D86" s="436"/>
      <c r="E86" s="484" t="s">
        <v>102</v>
      </c>
      <c r="F86" s="485"/>
      <c r="G86" s="485"/>
      <c r="H86" s="466">
        <f>H62+H71+H76+H84</f>
        <v>85591.45</v>
      </c>
    </row>
    <row r="87" spans="1:8" ht="13.5" thickBot="1">
      <c r="A87" s="450" t="s">
        <v>103</v>
      </c>
      <c r="B87" s="450"/>
      <c r="C87" s="436"/>
      <c r="D87" s="436"/>
      <c r="E87" s="436"/>
      <c r="F87" s="436"/>
      <c r="G87" s="436"/>
      <c r="H87" s="436"/>
    </row>
    <row r="88" spans="1:8">
      <c r="A88" s="487" t="s">
        <v>80</v>
      </c>
      <c r="B88" s="488"/>
      <c r="C88" s="488"/>
      <c r="D88" s="488"/>
      <c r="E88" s="489"/>
      <c r="F88" s="490" t="s">
        <v>104</v>
      </c>
      <c r="G88" s="491" t="s">
        <v>105</v>
      </c>
      <c r="H88" s="457"/>
    </row>
    <row r="89" spans="1:8">
      <c r="A89" s="469" t="s">
        <v>106</v>
      </c>
      <c r="B89" s="467"/>
      <c r="C89" s="467"/>
      <c r="D89" s="467"/>
      <c r="E89" s="468"/>
      <c r="F89" s="492">
        <f>PRESUPUESTO!$E$222</f>
        <v>0.109</v>
      </c>
      <c r="G89" s="493">
        <f>+F89*H86</f>
        <v>9329.4680499999995</v>
      </c>
      <c r="H89" s="460"/>
    </row>
    <row r="90" spans="1:8" ht="13.5" thickBot="1">
      <c r="A90" s="472" t="s">
        <v>108</v>
      </c>
      <c r="B90" s="473"/>
      <c r="C90" s="473"/>
      <c r="D90" s="473"/>
      <c r="E90" s="474"/>
      <c r="F90" s="494">
        <f>PRESUPUESTO!$E$223</f>
        <v>0.05</v>
      </c>
      <c r="G90" s="495">
        <f>+F90*H86</f>
        <v>4279.5725000000002</v>
      </c>
      <c r="H90" s="465"/>
    </row>
    <row r="91" spans="1:8" ht="13.5" thickBot="1">
      <c r="A91" s="436"/>
      <c r="B91" s="436"/>
      <c r="C91" s="436"/>
      <c r="D91" s="436"/>
      <c r="E91" s="436"/>
      <c r="F91" s="436"/>
      <c r="G91" s="437" t="s">
        <v>86</v>
      </c>
      <c r="H91" s="496">
        <f>SUM(G89:G90)</f>
        <v>13609.04055</v>
      </c>
    </row>
    <row r="92" spans="1:8" ht="13.5" thickBot="1">
      <c r="A92" s="436"/>
      <c r="B92" s="436"/>
      <c r="C92" s="436"/>
      <c r="D92" s="436"/>
      <c r="E92" s="436"/>
      <c r="F92" s="436"/>
      <c r="G92" s="436"/>
      <c r="H92" s="436"/>
    </row>
    <row r="93" spans="1:8" ht="13.5" thickBot="1">
      <c r="C93" s="436"/>
      <c r="D93" s="484" t="s">
        <v>109</v>
      </c>
      <c r="E93" s="485"/>
      <c r="F93" s="485"/>
      <c r="G93" s="485"/>
      <c r="H93" s="466">
        <f>ROUND((H86+H91),0)</f>
        <v>99200</v>
      </c>
    </row>
  </sheetData>
  <mergeCells count="22">
    <mergeCell ref="A75:C75"/>
    <mergeCell ref="A17:C17"/>
    <mergeCell ref="A64:C64"/>
    <mergeCell ref="A58:C58"/>
    <mergeCell ref="A59:C59"/>
    <mergeCell ref="A60:C60"/>
    <mergeCell ref="A61:C61"/>
    <mergeCell ref="A73:C73"/>
    <mergeCell ref="A26:C26"/>
    <mergeCell ref="A28:C28"/>
    <mergeCell ref="A50:C52"/>
    <mergeCell ref="A27:C27"/>
    <mergeCell ref="A74:C74"/>
    <mergeCell ref="B55:F55"/>
    <mergeCell ref="D52:H52"/>
    <mergeCell ref="A13:C13"/>
    <mergeCell ref="A14:C14"/>
    <mergeCell ref="D5:H5"/>
    <mergeCell ref="A11:C11"/>
    <mergeCell ref="A12:C12"/>
    <mergeCell ref="A3:C5"/>
    <mergeCell ref="B8:F8"/>
  </mergeCells>
  <hyperlinks>
    <hyperlink ref="A1" r:id="rId1" location="PRESUPUESTO!A1" xr:uid="{00000000-0004-0000-0100-000000000000}"/>
    <hyperlink ref="A48" r:id="rId2" location="PRESUPUESTO!A1" xr:uid="{00000000-0004-0000-0100-000001000000}"/>
  </hyperlinks>
  <printOptions horizontalCentered="1" verticalCentered="1"/>
  <pageMargins left="1.1811023622047245" right="0.39370078740157483" top="0.19685039370078741" bottom="1.1811023622047245" header="0" footer="0"/>
  <pageSetup scale="95" orientation="portrait" r:id="rId3"/>
  <headerFooter alignWithMargins="0"/>
  <rowBreaks count="1" manualBreakCount="1">
    <brk id="47"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83A61-AC5A-4DAA-B434-165AB29F8444}">
  <dimension ref="A1:Q1995"/>
  <sheetViews>
    <sheetView view="pageBreakPreview" topLeftCell="A1443" zoomScale="115" zoomScaleNormal="100" zoomScaleSheetLayoutView="115" workbookViewId="0">
      <selection activeCell="I175" sqref="I175"/>
    </sheetView>
  </sheetViews>
  <sheetFormatPr baseColWidth="10" defaultRowHeight="15"/>
  <cols>
    <col min="9" max="9" width="18.5703125" style="671" customWidth="1"/>
    <col min="10" max="10" width="12.85546875" bestFit="1" customWidth="1"/>
    <col min="11" max="11" width="12.28515625" bestFit="1" customWidth="1"/>
  </cols>
  <sheetData>
    <row r="1" spans="1:10">
      <c r="A1" s="186" t="s">
        <v>77</v>
      </c>
      <c r="B1" s="446"/>
      <c r="C1" s="446"/>
      <c r="D1" s="446"/>
      <c r="E1" s="446"/>
      <c r="F1" s="446"/>
      <c r="G1" s="446"/>
      <c r="H1" s="446"/>
    </row>
    <row r="2" spans="1:10" ht="15.75" thickBot="1">
      <c r="A2" s="446"/>
      <c r="B2" s="446"/>
      <c r="C2" s="446"/>
      <c r="D2" s="446"/>
      <c r="E2" s="446"/>
      <c r="F2" s="446"/>
      <c r="G2" s="446"/>
      <c r="H2" s="446"/>
    </row>
    <row r="3" spans="1:10">
      <c r="A3" s="1348" t="s">
        <v>213</v>
      </c>
      <c r="B3" s="1349"/>
      <c r="C3" s="1350"/>
      <c r="D3" s="448"/>
      <c r="E3" s="448"/>
      <c r="F3" s="448"/>
      <c r="G3" s="448"/>
      <c r="H3" s="449"/>
    </row>
    <row r="4" spans="1:10">
      <c r="A4" s="1351"/>
      <c r="B4" s="1352"/>
      <c r="C4" s="1353"/>
      <c r="D4" s="436"/>
      <c r="E4" s="450" t="s">
        <v>78</v>
      </c>
      <c r="F4" s="436"/>
      <c r="G4" s="436"/>
      <c r="H4" s="451"/>
    </row>
    <row r="5" spans="1:10" ht="15.75" thickBot="1">
      <c r="A5" s="1354"/>
      <c r="B5" s="1355"/>
      <c r="C5" s="1356"/>
      <c r="D5" s="1360"/>
      <c r="E5" s="1361"/>
      <c r="F5" s="1361"/>
      <c r="G5" s="1361"/>
      <c r="H5" s="1362"/>
    </row>
    <row r="6" spans="1:10">
      <c r="A6" s="455"/>
      <c r="B6" s="436"/>
      <c r="C6" s="436"/>
      <c r="D6" s="436"/>
      <c r="E6" s="436"/>
      <c r="F6" s="436"/>
      <c r="G6" s="436"/>
      <c r="H6" s="436"/>
    </row>
    <row r="7" spans="1:10" s="446" customFormat="1" ht="12.75">
      <c r="A7" s="455" t="s">
        <v>1146</v>
      </c>
      <c r="B7" s="456" t="str">
        <f>+PRESUPUESTO!$B$70</f>
        <v>INSTALACIONES ELÉCTRICAS</v>
      </c>
      <c r="C7" s="436"/>
      <c r="E7" s="456"/>
      <c r="G7" s="456" t="s">
        <v>1123</v>
      </c>
      <c r="H7" s="483" t="s">
        <v>1164</v>
      </c>
      <c r="I7" s="436"/>
      <c r="J7" s="436"/>
    </row>
    <row r="8" spans="1:10" s="931" customFormat="1" ht="52.15" customHeight="1">
      <c r="A8" s="928" t="s">
        <v>1122</v>
      </c>
      <c r="B8" s="1375" t="str">
        <f>VLOOKUP(H7,PRESUPUESTO!$A$18:$F$251,2,FALSE)</f>
        <v xml:space="preserve">Suministro, transporte e instalación de cable concentrico antifraude 2No8+1No8 AWG-XLPE, canalizado con sus accesorios de montaje, y demás elementos necesarios para su correcta instalación.  </v>
      </c>
      <c r="C8" s="1375"/>
      <c r="D8" s="1375"/>
      <c r="E8" s="1375"/>
      <c r="F8" s="1375"/>
      <c r="G8" s="929" t="s">
        <v>9</v>
      </c>
      <c r="H8" s="1024" t="str">
        <f>VLOOKUP(H7,PRESUPUESTO!$A$18:$F$251,3,FALSE)</f>
        <v>ml</v>
      </c>
    </row>
    <row r="9" spans="1:10">
      <c r="A9" s="456"/>
      <c r="B9" s="456"/>
      <c r="C9" s="436"/>
      <c r="D9" s="456"/>
      <c r="E9" s="456"/>
      <c r="F9" s="456"/>
      <c r="G9" s="456"/>
      <c r="H9" s="436"/>
    </row>
    <row r="10" spans="1:10" ht="15.75" thickBot="1">
      <c r="A10" s="450" t="s">
        <v>79</v>
      </c>
      <c r="B10" s="450"/>
      <c r="C10" s="436"/>
      <c r="D10" s="436"/>
      <c r="E10" s="436"/>
      <c r="F10" s="436"/>
      <c r="G10" s="436"/>
      <c r="H10" s="436"/>
    </row>
    <row r="11" spans="1:10">
      <c r="A11" s="1345" t="s">
        <v>80</v>
      </c>
      <c r="B11" s="1346"/>
      <c r="C11" s="1347"/>
      <c r="D11" s="438" t="s">
        <v>81</v>
      </c>
      <c r="E11" s="438" t="s">
        <v>82</v>
      </c>
      <c r="F11" s="438" t="s">
        <v>83</v>
      </c>
      <c r="G11" s="439" t="s">
        <v>84</v>
      </c>
      <c r="H11" s="457"/>
    </row>
    <row r="12" spans="1:10">
      <c r="A12" s="1357" t="s">
        <v>471</v>
      </c>
      <c r="B12" s="1358"/>
      <c r="C12" s="1359"/>
      <c r="D12" s="459" t="s">
        <v>268</v>
      </c>
      <c r="E12" s="440">
        <v>1000</v>
      </c>
      <c r="F12" s="440">
        <v>1</v>
      </c>
      <c r="G12" s="432">
        <f>E12*F12</f>
        <v>1000</v>
      </c>
      <c r="H12" s="460"/>
    </row>
    <row r="13" spans="1:10">
      <c r="A13" s="1357" t="s">
        <v>215</v>
      </c>
      <c r="B13" s="1358"/>
      <c r="C13" s="1359"/>
      <c r="D13" s="461" t="s">
        <v>263</v>
      </c>
      <c r="E13" s="462">
        <f>MATERIALES!$C$4</f>
        <v>14500</v>
      </c>
      <c r="F13" s="440">
        <f>2/F32</f>
        <v>0.16666666666666666</v>
      </c>
      <c r="G13" s="432">
        <f>E13*F13</f>
        <v>2416.6666666666665</v>
      </c>
      <c r="H13" s="460"/>
    </row>
    <row r="14" spans="1:10" ht="15.75" thickBot="1">
      <c r="A14" s="1342"/>
      <c r="B14" s="1343"/>
      <c r="C14" s="1344"/>
      <c r="D14" s="464"/>
      <c r="E14" s="433"/>
      <c r="F14" s="434"/>
      <c r="G14" s="441">
        <f>E14*F14</f>
        <v>0</v>
      </c>
      <c r="H14" s="465"/>
    </row>
    <row r="15" spans="1:10" ht="15.75" thickBot="1">
      <c r="A15" s="436"/>
      <c r="B15" s="436"/>
      <c r="C15" s="436"/>
      <c r="D15" s="436"/>
      <c r="E15" s="436"/>
      <c r="F15" s="436"/>
      <c r="G15" s="437" t="s">
        <v>86</v>
      </c>
      <c r="H15" s="466">
        <f>SUM(G12:G14)</f>
        <v>3416.6666666666665</v>
      </c>
    </row>
    <row r="16" spans="1:10" ht="15.75" thickBot="1">
      <c r="A16" s="450" t="s">
        <v>87</v>
      </c>
      <c r="B16" s="450"/>
      <c r="C16" s="436"/>
      <c r="D16" s="436"/>
      <c r="E16" s="436"/>
      <c r="F16" s="436"/>
      <c r="G16" s="436"/>
      <c r="H16" s="436"/>
    </row>
    <row r="17" spans="1:9">
      <c r="A17" s="1345" t="s">
        <v>80</v>
      </c>
      <c r="B17" s="1346"/>
      <c r="C17" s="1347"/>
      <c r="D17" s="438" t="s">
        <v>88</v>
      </c>
      <c r="E17" s="438" t="s">
        <v>89</v>
      </c>
      <c r="F17" s="438" t="s">
        <v>90</v>
      </c>
      <c r="G17" s="439" t="s">
        <v>84</v>
      </c>
      <c r="H17" s="457"/>
    </row>
    <row r="18" spans="1:9">
      <c r="A18" s="458" t="s">
        <v>468</v>
      </c>
      <c r="B18" s="467"/>
      <c r="C18" s="468"/>
      <c r="D18" s="459" t="s">
        <v>271</v>
      </c>
      <c r="E18" s="1009">
        <f>28121*1.19</f>
        <v>33463.99</v>
      </c>
      <c r="F18" s="440">
        <v>1.05</v>
      </c>
      <c r="G18" s="432">
        <f>E18*F18</f>
        <v>35137.1895</v>
      </c>
      <c r="H18" s="460"/>
      <c r="I18" s="672"/>
    </row>
    <row r="19" spans="1:9">
      <c r="A19" s="469"/>
      <c r="B19" s="467"/>
      <c r="C19" s="468"/>
      <c r="D19" s="459"/>
      <c r="E19" s="470"/>
      <c r="F19" s="440"/>
      <c r="G19" s="432">
        <f>F19*E19</f>
        <v>0</v>
      </c>
      <c r="H19" s="460"/>
    </row>
    <row r="20" spans="1:9">
      <c r="A20" s="469"/>
      <c r="B20" s="467"/>
      <c r="C20" s="471"/>
      <c r="D20" s="459"/>
      <c r="F20" s="431"/>
      <c r="G20" s="432">
        <f>SUM(G17:G19)*C20</f>
        <v>0</v>
      </c>
      <c r="H20" s="460"/>
    </row>
    <row r="21" spans="1:9">
      <c r="A21" s="469"/>
      <c r="B21" s="467"/>
      <c r="C21" s="468"/>
      <c r="D21" s="459"/>
      <c r="E21" s="430"/>
      <c r="F21" s="431"/>
      <c r="G21" s="432"/>
      <c r="H21" s="460"/>
    </row>
    <row r="22" spans="1:9">
      <c r="A22" s="469"/>
      <c r="B22" s="467"/>
      <c r="C22" s="468"/>
      <c r="D22" s="459"/>
      <c r="E22" s="430"/>
      <c r="F22" s="431"/>
      <c r="G22" s="432"/>
      <c r="H22" s="460"/>
    </row>
    <row r="23" spans="1:9" ht="15.75" thickBot="1">
      <c r="A23" s="472"/>
      <c r="B23" s="473"/>
      <c r="C23" s="474"/>
      <c r="D23" s="464"/>
      <c r="E23" s="433"/>
      <c r="F23" s="434"/>
      <c r="G23" s="435"/>
      <c r="H23" s="465"/>
    </row>
    <row r="24" spans="1:9" ht="15.75" thickBot="1">
      <c r="A24" s="436"/>
      <c r="B24" s="436"/>
      <c r="C24" s="436"/>
      <c r="D24" s="436"/>
      <c r="E24" s="436"/>
      <c r="F24" s="436"/>
      <c r="G24" s="437" t="s">
        <v>86</v>
      </c>
      <c r="H24" s="466">
        <f>SUM(G18:G23)</f>
        <v>35137.1895</v>
      </c>
    </row>
    <row r="25" spans="1:9" ht="15.75" thickBot="1">
      <c r="A25" s="450" t="s">
        <v>94</v>
      </c>
      <c r="B25" s="450"/>
      <c r="C25" s="436"/>
      <c r="D25" s="436"/>
      <c r="E25" s="436"/>
      <c r="F25" s="436"/>
      <c r="G25" s="436"/>
      <c r="H25" s="436"/>
    </row>
    <row r="26" spans="1:9">
      <c r="A26" s="1345" t="s">
        <v>95</v>
      </c>
      <c r="B26" s="1346"/>
      <c r="C26" s="1347"/>
      <c r="D26" s="438" t="s">
        <v>88</v>
      </c>
      <c r="E26" s="438" t="s">
        <v>89</v>
      </c>
      <c r="F26" s="438" t="s">
        <v>90</v>
      </c>
      <c r="G26" s="439" t="s">
        <v>84</v>
      </c>
      <c r="H26" s="457"/>
    </row>
    <row r="27" spans="1:9">
      <c r="A27" s="458" t="s">
        <v>235</v>
      </c>
      <c r="B27" s="467"/>
      <c r="C27" s="468"/>
      <c r="D27" s="459" t="s">
        <v>271</v>
      </c>
      <c r="E27" s="430">
        <v>4200</v>
      </c>
      <c r="F27" s="440">
        <v>1</v>
      </c>
      <c r="G27" s="432">
        <f>E27*F27</f>
        <v>4200</v>
      </c>
      <c r="H27" s="460"/>
    </row>
    <row r="28" spans="1:9" ht="15.75" thickBot="1">
      <c r="A28" s="1342"/>
      <c r="B28" s="1343"/>
      <c r="C28" s="1344"/>
      <c r="D28" s="475"/>
      <c r="E28" s="433"/>
      <c r="F28" s="434"/>
      <c r="G28" s="441"/>
      <c r="H28" s="460"/>
    </row>
    <row r="29" spans="1:9" ht="15.75" thickBot="1">
      <c r="A29" s="436"/>
      <c r="B29" s="436"/>
      <c r="C29" s="436"/>
      <c r="D29" s="436"/>
      <c r="E29" s="436"/>
      <c r="F29" s="436"/>
      <c r="G29" s="437" t="s">
        <v>86</v>
      </c>
      <c r="H29" s="466">
        <f>SUM(G27:G28)</f>
        <v>4200</v>
      </c>
      <c r="I29" s="677"/>
    </row>
    <row r="30" spans="1:9" ht="15.75" thickBot="1">
      <c r="A30" s="450" t="s">
        <v>96</v>
      </c>
      <c r="B30" s="450"/>
      <c r="C30" s="436"/>
      <c r="D30" s="436"/>
      <c r="E30" s="436"/>
      <c r="F30" s="436"/>
      <c r="G30" s="436"/>
      <c r="H30" s="436"/>
    </row>
    <row r="31" spans="1:9">
      <c r="A31" s="476" t="s">
        <v>97</v>
      </c>
      <c r="B31" s="438"/>
      <c r="C31" s="438" t="s">
        <v>98</v>
      </c>
      <c r="D31" s="438" t="s">
        <v>99</v>
      </c>
      <c r="E31" s="442" t="s">
        <v>100</v>
      </c>
      <c r="F31" s="443" t="s">
        <v>83</v>
      </c>
      <c r="G31" s="444" t="s">
        <v>84</v>
      </c>
      <c r="H31" s="477"/>
    </row>
    <row r="32" spans="1:9">
      <c r="A32" s="478" t="s">
        <v>101</v>
      </c>
      <c r="B32" s="467"/>
      <c r="C32" s="479">
        <f>PERSONAL!$E$32</f>
        <v>87200</v>
      </c>
      <c r="D32" s="480">
        <f>PERSONAL!$F$31</f>
        <v>1.7431000000000001</v>
      </c>
      <c r="E32" s="440">
        <f>+D32*C32</f>
        <v>151998.32</v>
      </c>
      <c r="F32" s="440">
        <v>12</v>
      </c>
      <c r="G32" s="445">
        <f>ROUND(E32/F32,0)</f>
        <v>12667</v>
      </c>
      <c r="H32" s="451"/>
    </row>
    <row r="33" spans="1:10">
      <c r="A33" s="478"/>
      <c r="B33" s="467"/>
      <c r="C33" s="479"/>
      <c r="D33" s="480"/>
      <c r="E33" s="440"/>
      <c r="F33" s="440"/>
      <c r="G33" s="445"/>
      <c r="H33" s="451"/>
    </row>
    <row r="34" spans="1:10">
      <c r="A34" s="478"/>
      <c r="B34" s="468"/>
      <c r="C34" s="430"/>
      <c r="D34" s="459"/>
      <c r="E34" s="430"/>
      <c r="F34" s="440"/>
      <c r="G34" s="445"/>
      <c r="H34" s="451"/>
    </row>
    <row r="35" spans="1:10">
      <c r="A35" s="478"/>
      <c r="B35" s="468"/>
      <c r="C35" s="430"/>
      <c r="D35" s="459"/>
      <c r="E35" s="430"/>
      <c r="F35" s="440"/>
      <c r="G35" s="445"/>
      <c r="H35" s="451"/>
    </row>
    <row r="36" spans="1:10" ht="15.75" thickBot="1">
      <c r="A36" s="481"/>
      <c r="B36" s="474"/>
      <c r="C36" s="474"/>
      <c r="D36" s="474"/>
      <c r="E36" s="474"/>
      <c r="F36" s="474"/>
      <c r="G36" s="482"/>
      <c r="H36" s="482"/>
    </row>
    <row r="37" spans="1:10" ht="15.75" thickBot="1">
      <c r="A37" s="436"/>
      <c r="B37" s="436"/>
      <c r="C37" s="436"/>
      <c r="D37" s="436"/>
      <c r="E37" s="436"/>
      <c r="F37" s="436"/>
      <c r="G37" s="437" t="s">
        <v>86</v>
      </c>
      <c r="H37" s="466">
        <f>SUM(G32:G36)</f>
        <v>12667</v>
      </c>
    </row>
    <row r="38" spans="1:10" ht="15.75" thickBot="1">
      <c r="A38" s="436"/>
      <c r="B38" s="436"/>
      <c r="C38" s="436"/>
      <c r="D38" s="436"/>
      <c r="E38" s="436"/>
      <c r="F38" s="436"/>
      <c r="G38" s="483"/>
      <c r="H38" s="436"/>
    </row>
    <row r="39" spans="1:10" ht="15.75" thickBot="1">
      <c r="A39" s="436"/>
      <c r="B39" s="436"/>
      <c r="C39" s="436"/>
      <c r="D39" s="436"/>
      <c r="E39" s="484" t="s">
        <v>102</v>
      </c>
      <c r="F39" s="485"/>
      <c r="G39" s="485"/>
      <c r="H39" s="466">
        <f>H15+H24+H29+H37</f>
        <v>55420.856166666665</v>
      </c>
      <c r="J39" s="486"/>
    </row>
    <row r="40" spans="1:10" ht="15.75" thickBot="1">
      <c r="A40" s="450" t="s">
        <v>103</v>
      </c>
      <c r="B40" s="450"/>
      <c r="C40" s="436"/>
      <c r="D40" s="436"/>
      <c r="E40" s="436"/>
      <c r="F40" s="436"/>
      <c r="G40" s="436"/>
      <c r="H40" s="436"/>
    </row>
    <row r="41" spans="1:10">
      <c r="A41" s="487" t="s">
        <v>80</v>
      </c>
      <c r="B41" s="488"/>
      <c r="C41" s="488"/>
      <c r="D41" s="488"/>
      <c r="E41" s="489"/>
      <c r="F41" s="490" t="s">
        <v>104</v>
      </c>
      <c r="G41" s="491" t="s">
        <v>105</v>
      </c>
      <c r="H41" s="457"/>
    </row>
    <row r="42" spans="1:10">
      <c r="A42" s="469" t="s">
        <v>106</v>
      </c>
      <c r="B42" s="467"/>
      <c r="C42" s="467"/>
      <c r="D42" s="467"/>
      <c r="E42" s="468"/>
      <c r="F42" s="492">
        <f>PRESUPUESTO!$E$222</f>
        <v>0.109</v>
      </c>
      <c r="G42" s="493">
        <f>+F42*H39</f>
        <v>6040.8733221666662</v>
      </c>
      <c r="H42" s="460"/>
    </row>
    <row r="43" spans="1:10">
      <c r="A43" s="469" t="s">
        <v>107</v>
      </c>
      <c r="B43" s="467"/>
      <c r="C43" s="467"/>
      <c r="D43" s="467"/>
      <c r="E43" s="468"/>
      <c r="F43" s="492">
        <f>PRESUPUESTO!$E$223</f>
        <v>0.05</v>
      </c>
      <c r="G43" s="493">
        <f>+F43*H39</f>
        <v>2771.0428083333336</v>
      </c>
      <c r="H43" s="460"/>
    </row>
    <row r="44" spans="1:10" ht="15.75" thickBot="1">
      <c r="A44" s="472" t="s">
        <v>108</v>
      </c>
      <c r="B44" s="473"/>
      <c r="C44" s="473"/>
      <c r="D44" s="473"/>
      <c r="E44" s="474"/>
      <c r="F44" s="494">
        <v>0</v>
      </c>
      <c r="G44" s="495">
        <f>+F44*H39</f>
        <v>0</v>
      </c>
      <c r="H44" s="465"/>
    </row>
    <row r="45" spans="1:10" ht="15.75" thickBot="1">
      <c r="A45" s="436"/>
      <c r="B45" s="436"/>
      <c r="C45" s="436"/>
      <c r="D45" s="436"/>
      <c r="E45" s="436"/>
      <c r="F45" s="436"/>
      <c r="G45" s="437" t="s">
        <v>86</v>
      </c>
      <c r="H45" s="496">
        <f>SUM(G42:G44)</f>
        <v>8811.9161304999998</v>
      </c>
    </row>
    <row r="46" spans="1:10" ht="15.75" thickBot="1">
      <c r="A46" s="436"/>
      <c r="B46" s="436"/>
      <c r="C46" s="436"/>
      <c r="D46" s="436"/>
      <c r="E46" s="436"/>
      <c r="F46" s="436"/>
      <c r="G46" s="436"/>
      <c r="H46" s="436"/>
    </row>
    <row r="47" spans="1:10" ht="15.75" thickBot="1">
      <c r="A47" s="446"/>
      <c r="B47" s="446"/>
      <c r="C47" s="436"/>
      <c r="D47" s="484" t="s">
        <v>109</v>
      </c>
      <c r="E47" s="485"/>
      <c r="F47" s="485"/>
      <c r="G47" s="485"/>
      <c r="H47" s="466">
        <f>ROUND((H39+H45),0)</f>
        <v>64233</v>
      </c>
    </row>
    <row r="48" spans="1:10">
      <c r="A48" s="446"/>
      <c r="B48" s="446"/>
      <c r="C48" s="446"/>
      <c r="D48" s="446"/>
      <c r="E48" s="446"/>
      <c r="F48" s="446"/>
      <c r="G48" s="446"/>
      <c r="H48" s="446"/>
    </row>
    <row r="49" spans="1:10">
      <c r="A49" s="186" t="s">
        <v>77</v>
      </c>
      <c r="B49" s="446"/>
      <c r="C49" s="446"/>
      <c r="D49" s="446"/>
      <c r="E49" s="446"/>
      <c r="F49" s="446"/>
      <c r="G49" s="446"/>
      <c r="H49" s="446"/>
    </row>
    <row r="50" spans="1:10" ht="15.75" thickBot="1">
      <c r="A50" s="446"/>
      <c r="B50" s="446"/>
      <c r="C50" s="446"/>
      <c r="D50" s="446"/>
      <c r="E50" s="446"/>
      <c r="F50" s="446"/>
      <c r="G50" s="446"/>
      <c r="H50" s="446"/>
    </row>
    <row r="51" spans="1:10">
      <c r="A51" s="1348" t="s">
        <v>213</v>
      </c>
      <c r="B51" s="1349"/>
      <c r="C51" s="1350"/>
      <c r="D51" s="448"/>
      <c r="E51" s="448"/>
      <c r="F51" s="448"/>
      <c r="G51" s="448"/>
      <c r="H51" s="449"/>
    </row>
    <row r="52" spans="1:10">
      <c r="A52" s="1351"/>
      <c r="B52" s="1352"/>
      <c r="C52" s="1353"/>
      <c r="D52" s="436"/>
      <c r="E52" s="450" t="s">
        <v>78</v>
      </c>
      <c r="F52" s="436"/>
      <c r="G52" s="436"/>
      <c r="H52" s="451"/>
    </row>
    <row r="53" spans="1:10" ht="15.75" thickBot="1">
      <c r="A53" s="1354"/>
      <c r="B53" s="1355"/>
      <c r="C53" s="1356"/>
      <c r="D53" s="1360"/>
      <c r="E53" s="1361"/>
      <c r="F53" s="1361"/>
      <c r="G53" s="1361"/>
      <c r="H53" s="1362"/>
    </row>
    <row r="54" spans="1:10">
      <c r="A54" s="455"/>
      <c r="B54" s="436"/>
      <c r="C54" s="436"/>
      <c r="D54" s="436"/>
      <c r="E54" s="436"/>
      <c r="F54" s="436"/>
      <c r="G54" s="436"/>
      <c r="H54" s="436"/>
    </row>
    <row r="55" spans="1:10" s="446" customFormat="1" ht="12.75">
      <c r="A55" s="455" t="s">
        <v>1146</v>
      </c>
      <c r="B55" s="456" t="str">
        <f>+PRESUPUESTO!$B$70</f>
        <v>INSTALACIONES ELÉCTRICAS</v>
      </c>
      <c r="C55" s="436"/>
      <c r="E55" s="456"/>
      <c r="G55" s="456" t="s">
        <v>1123</v>
      </c>
      <c r="H55" s="483" t="s">
        <v>1165</v>
      </c>
      <c r="I55" s="436"/>
      <c r="J55" s="436"/>
    </row>
    <row r="56" spans="1:10" s="931" customFormat="1" ht="52.15" customHeight="1">
      <c r="A56" s="928" t="s">
        <v>1122</v>
      </c>
      <c r="B56" s="1375" t="str">
        <f>VLOOKUP(H55,PRESUPUESTO!$A$18:$F$251,2,FALSE)</f>
        <v>Suministro, Transporte e Instalación de Bajante metálico galvanizado pesado IMC de 1-1/2".</v>
      </c>
      <c r="C56" s="1375"/>
      <c r="D56" s="1375"/>
      <c r="E56" s="1375"/>
      <c r="F56" s="1375"/>
      <c r="G56" s="929" t="s">
        <v>9</v>
      </c>
      <c r="H56" s="1024" t="str">
        <f>VLOOKUP(H55,PRESUPUESTO!$A$18:$F$251,3,FALSE)</f>
        <v>ml</v>
      </c>
    </row>
    <row r="57" spans="1:10">
      <c r="A57" s="456"/>
      <c r="B57" s="456"/>
      <c r="C57" s="436"/>
      <c r="D57" s="456"/>
      <c r="E57" s="456"/>
      <c r="F57" s="456"/>
      <c r="G57" s="456"/>
      <c r="H57" s="436"/>
    </row>
    <row r="58" spans="1:10" ht="15.75" thickBot="1">
      <c r="A58" s="450" t="s">
        <v>79</v>
      </c>
      <c r="B58" s="450"/>
      <c r="C58" s="436"/>
      <c r="D58" s="436"/>
      <c r="E58" s="436"/>
      <c r="F58" s="436"/>
      <c r="G58" s="436"/>
      <c r="H58" s="436"/>
    </row>
    <row r="59" spans="1:10">
      <c r="A59" s="1345" t="s">
        <v>80</v>
      </c>
      <c r="B59" s="1346"/>
      <c r="C59" s="1347"/>
      <c r="D59" s="438" t="s">
        <v>81</v>
      </c>
      <c r="E59" s="438" t="s">
        <v>82</v>
      </c>
      <c r="F59" s="438" t="s">
        <v>83</v>
      </c>
      <c r="G59" s="439" t="s">
        <v>84</v>
      </c>
      <c r="H59" s="457"/>
    </row>
    <row r="60" spans="1:10">
      <c r="A60" s="1357" t="s">
        <v>471</v>
      </c>
      <c r="B60" s="1358"/>
      <c r="C60" s="1359"/>
      <c r="D60" s="459" t="s">
        <v>268</v>
      </c>
      <c r="E60" s="440">
        <v>1000</v>
      </c>
      <c r="F60" s="440">
        <v>1</v>
      </c>
      <c r="G60" s="432">
        <f>E60*F60</f>
        <v>1000</v>
      </c>
      <c r="H60" s="460"/>
    </row>
    <row r="61" spans="1:10">
      <c r="A61" s="1357" t="s">
        <v>215</v>
      </c>
      <c r="B61" s="1358"/>
      <c r="C61" s="1359"/>
      <c r="D61" s="461" t="s">
        <v>263</v>
      </c>
      <c r="E61" s="462">
        <f>MATERIALES!$C$4</f>
        <v>14500</v>
      </c>
      <c r="F61" s="440">
        <f>2/F80</f>
        <v>0.15384615384615385</v>
      </c>
      <c r="G61" s="432">
        <f>E61*F61</f>
        <v>2230.7692307692309</v>
      </c>
      <c r="H61" s="460"/>
    </row>
    <row r="62" spans="1:10" ht="15.75" thickBot="1">
      <c r="A62" s="1342"/>
      <c r="B62" s="1343"/>
      <c r="C62" s="1344"/>
      <c r="D62" s="464"/>
      <c r="E62" s="433"/>
      <c r="F62" s="434"/>
      <c r="G62" s="441">
        <f>E62*F62</f>
        <v>0</v>
      </c>
      <c r="H62" s="465"/>
    </row>
    <row r="63" spans="1:10" ht="15.75" thickBot="1">
      <c r="A63" s="436"/>
      <c r="B63" s="436"/>
      <c r="C63" s="436"/>
      <c r="D63" s="436"/>
      <c r="E63" s="436"/>
      <c r="F63" s="436"/>
      <c r="G63" s="437" t="s">
        <v>86</v>
      </c>
      <c r="H63" s="466">
        <f>SUM(G60:G62)</f>
        <v>3230.7692307692309</v>
      </c>
    </row>
    <row r="64" spans="1:10" ht="15.75" thickBot="1">
      <c r="A64" s="450" t="s">
        <v>87</v>
      </c>
      <c r="B64" s="450"/>
      <c r="C64" s="436"/>
      <c r="D64" s="436"/>
      <c r="E64" s="436"/>
      <c r="F64" s="436"/>
      <c r="G64" s="436"/>
      <c r="H64" s="436"/>
    </row>
    <row r="65" spans="1:10">
      <c r="A65" s="1345" t="s">
        <v>80</v>
      </c>
      <c r="B65" s="1346"/>
      <c r="C65" s="1347"/>
      <c r="D65" s="438" t="s">
        <v>88</v>
      </c>
      <c r="E65" s="438" t="s">
        <v>89</v>
      </c>
      <c r="F65" s="438" t="s">
        <v>90</v>
      </c>
      <c r="G65" s="439" t="s">
        <v>84</v>
      </c>
      <c r="H65" s="457"/>
    </row>
    <row r="66" spans="1:10">
      <c r="A66" s="458" t="s">
        <v>421</v>
      </c>
      <c r="B66" s="467"/>
      <c r="C66" s="468"/>
      <c r="D66" s="459" t="s">
        <v>271</v>
      </c>
      <c r="E66" s="1013">
        <v>50000</v>
      </c>
      <c r="F66" s="998">
        <v>1.05</v>
      </c>
      <c r="G66" s="432">
        <f>E66*F66</f>
        <v>52500</v>
      </c>
      <c r="H66" s="460"/>
      <c r="I66" s="672"/>
      <c r="J66" s="997"/>
    </row>
    <row r="67" spans="1:10">
      <c r="A67" s="469" t="s">
        <v>422</v>
      </c>
      <c r="B67" s="467"/>
      <c r="C67" s="468"/>
      <c r="D67" s="459" t="s">
        <v>268</v>
      </c>
      <c r="E67" s="430">
        <f>6950*1.15</f>
        <v>7992.4999999999991</v>
      </c>
      <c r="F67" s="440">
        <v>1</v>
      </c>
      <c r="G67" s="432">
        <f>E67*F67</f>
        <v>7992.4999999999991</v>
      </c>
      <c r="H67" s="460"/>
    </row>
    <row r="68" spans="1:10">
      <c r="A68" s="469" t="s">
        <v>423</v>
      </c>
      <c r="B68" s="467"/>
      <c r="C68" s="471"/>
      <c r="D68" s="459" t="s">
        <v>268</v>
      </c>
      <c r="E68" s="1013">
        <v>39900</v>
      </c>
      <c r="F68" s="440">
        <f>1/30</f>
        <v>3.3333333333333333E-2</v>
      </c>
      <c r="G68" s="432">
        <f>E68*F68</f>
        <v>1330</v>
      </c>
      <c r="H68" s="460"/>
    </row>
    <row r="69" spans="1:10">
      <c r="A69" s="469" t="s">
        <v>424</v>
      </c>
      <c r="B69" s="467"/>
      <c r="C69" s="468"/>
      <c r="D69" s="459" t="s">
        <v>268</v>
      </c>
      <c r="E69" s="430">
        <f>1.15*500</f>
        <v>575</v>
      </c>
      <c r="F69" s="440">
        <v>0.2</v>
      </c>
      <c r="G69" s="432">
        <f>E69*F69</f>
        <v>115</v>
      </c>
      <c r="H69" s="460"/>
    </row>
    <row r="70" spans="1:10">
      <c r="A70" s="469"/>
      <c r="B70" s="467"/>
      <c r="C70" s="468"/>
      <c r="D70" s="459"/>
      <c r="E70" s="430"/>
      <c r="F70" s="431"/>
      <c r="G70" s="432"/>
      <c r="H70" s="460"/>
    </row>
    <row r="71" spans="1:10" ht="15.75" thickBot="1">
      <c r="A71" s="472"/>
      <c r="B71" s="473"/>
      <c r="C71" s="474"/>
      <c r="D71" s="464"/>
      <c r="E71" s="433"/>
      <c r="F71" s="434"/>
      <c r="G71" s="435"/>
      <c r="H71" s="465"/>
    </row>
    <row r="72" spans="1:10" ht="15.75" thickBot="1">
      <c r="A72" s="436"/>
      <c r="B72" s="436"/>
      <c r="C72" s="436"/>
      <c r="D72" s="436"/>
      <c r="E72" s="436"/>
      <c r="F72" s="436"/>
      <c r="G72" s="437" t="s">
        <v>86</v>
      </c>
      <c r="H72" s="466">
        <f>SUM(G66:G71)</f>
        <v>61937.5</v>
      </c>
    </row>
    <row r="73" spans="1:10" ht="15.75" thickBot="1">
      <c r="A73" s="450" t="s">
        <v>94</v>
      </c>
      <c r="B73" s="450"/>
      <c r="C73" s="436"/>
      <c r="D73" s="436"/>
      <c r="E73" s="436"/>
      <c r="F73" s="436"/>
      <c r="G73" s="436"/>
      <c r="H73" s="436"/>
    </row>
    <row r="74" spans="1:10">
      <c r="A74" s="1345" t="s">
        <v>95</v>
      </c>
      <c r="B74" s="1346"/>
      <c r="C74" s="1347"/>
      <c r="D74" s="438" t="s">
        <v>88</v>
      </c>
      <c r="E74" s="438" t="s">
        <v>89</v>
      </c>
      <c r="F74" s="438" t="s">
        <v>90</v>
      </c>
      <c r="G74" s="439" t="s">
        <v>84</v>
      </c>
      <c r="H74" s="457"/>
    </row>
    <row r="75" spans="1:10">
      <c r="A75" s="458" t="s">
        <v>235</v>
      </c>
      <c r="B75" s="467"/>
      <c r="C75" s="468"/>
      <c r="D75" s="459" t="s">
        <v>271</v>
      </c>
      <c r="E75" s="430">
        <v>3500</v>
      </c>
      <c r="F75" s="440">
        <v>1</v>
      </c>
      <c r="G75" s="432">
        <f>E75*F75</f>
        <v>3500</v>
      </c>
      <c r="H75" s="460"/>
    </row>
    <row r="76" spans="1:10" ht="15.75" thickBot="1">
      <c r="A76" s="1342"/>
      <c r="B76" s="1343"/>
      <c r="C76" s="1344"/>
      <c r="D76" s="475"/>
      <c r="E76" s="433"/>
      <c r="F76" s="434"/>
      <c r="G76" s="441"/>
      <c r="H76" s="460"/>
    </row>
    <row r="77" spans="1:10" ht="15.75" thickBot="1">
      <c r="A77" s="436"/>
      <c r="B77" s="436"/>
      <c r="C77" s="436"/>
      <c r="D77" s="436"/>
      <c r="E77" s="436"/>
      <c r="F77" s="436"/>
      <c r="G77" s="437" t="s">
        <v>86</v>
      </c>
      <c r="H77" s="466">
        <f>SUM(G75:G76)</f>
        <v>3500</v>
      </c>
    </row>
    <row r="78" spans="1:10" ht="15.75" thickBot="1">
      <c r="A78" s="450" t="s">
        <v>96</v>
      </c>
      <c r="B78" s="450"/>
      <c r="C78" s="436"/>
      <c r="D78" s="436"/>
      <c r="E78" s="436"/>
      <c r="F78" s="436"/>
      <c r="G78" s="436"/>
      <c r="H78" s="436"/>
    </row>
    <row r="79" spans="1:10">
      <c r="A79" s="476" t="s">
        <v>97</v>
      </c>
      <c r="B79" s="438"/>
      <c r="C79" s="438" t="s">
        <v>98</v>
      </c>
      <c r="D79" s="438" t="s">
        <v>99</v>
      </c>
      <c r="E79" s="442" t="s">
        <v>100</v>
      </c>
      <c r="F79" s="443" t="s">
        <v>83</v>
      </c>
      <c r="G79" s="444" t="s">
        <v>84</v>
      </c>
      <c r="H79" s="477"/>
    </row>
    <row r="80" spans="1:10">
      <c r="A80" s="478" t="s">
        <v>101</v>
      </c>
      <c r="B80" s="467"/>
      <c r="C80" s="479">
        <f>PERSONAL!$E$32</f>
        <v>87200</v>
      </c>
      <c r="D80" s="480">
        <f>PERSONAL!$F$31</f>
        <v>1.7431000000000001</v>
      </c>
      <c r="E80" s="440">
        <f>+D80*C80</f>
        <v>151998.32</v>
      </c>
      <c r="F80" s="440">
        <v>13</v>
      </c>
      <c r="G80" s="445">
        <f>ROUND(E80/F80,0)</f>
        <v>11692</v>
      </c>
      <c r="H80" s="451"/>
    </row>
    <row r="81" spans="1:9">
      <c r="A81" s="478"/>
      <c r="B81" s="467"/>
      <c r="C81" s="479"/>
      <c r="D81" s="480"/>
      <c r="E81" s="440"/>
      <c r="F81" s="440"/>
      <c r="G81" s="445"/>
      <c r="H81" s="451"/>
    </row>
    <row r="82" spans="1:9">
      <c r="A82" s="478"/>
      <c r="B82" s="468"/>
      <c r="C82" s="430"/>
      <c r="D82" s="459"/>
      <c r="E82" s="430"/>
      <c r="F82" s="440"/>
      <c r="G82" s="445"/>
      <c r="H82" s="451"/>
    </row>
    <row r="83" spans="1:9">
      <c r="A83" s="478"/>
      <c r="B83" s="468"/>
      <c r="C83" s="430"/>
      <c r="D83" s="459"/>
      <c r="E83" s="430"/>
      <c r="F83" s="440"/>
      <c r="G83" s="445"/>
      <c r="H83" s="451"/>
    </row>
    <row r="84" spans="1:9" ht="15.75" thickBot="1">
      <c r="A84" s="481"/>
      <c r="B84" s="474"/>
      <c r="C84" s="474"/>
      <c r="D84" s="474"/>
      <c r="E84" s="474"/>
      <c r="F84" s="474"/>
      <c r="G84" s="482"/>
      <c r="H84" s="482"/>
    </row>
    <row r="85" spans="1:9" ht="15.75" thickBot="1">
      <c r="A85" s="436"/>
      <c r="B85" s="436"/>
      <c r="C85" s="436"/>
      <c r="D85" s="436"/>
      <c r="E85" s="436"/>
      <c r="F85" s="436"/>
      <c r="G85" s="437" t="s">
        <v>86</v>
      </c>
      <c r="H85" s="466">
        <f>SUM(G80:G84)</f>
        <v>11692</v>
      </c>
      <c r="I85" s="676"/>
    </row>
    <row r="86" spans="1:9" ht="15.75" thickBot="1">
      <c r="A86" s="436"/>
      <c r="B86" s="436"/>
      <c r="C86" s="436"/>
      <c r="D86" s="436"/>
      <c r="E86" s="436"/>
      <c r="F86" s="436"/>
      <c r="G86" s="483"/>
      <c r="H86" s="436"/>
    </row>
    <row r="87" spans="1:9" ht="15.75" thickBot="1">
      <c r="A87" s="436"/>
      <c r="B87" s="436"/>
      <c r="C87" s="436"/>
      <c r="D87" s="436"/>
      <c r="E87" s="484" t="s">
        <v>102</v>
      </c>
      <c r="F87" s="485"/>
      <c r="G87" s="485"/>
      <c r="H87" s="466">
        <f>H63+H72+H77+H85</f>
        <v>80360.269230769234</v>
      </c>
    </row>
    <row r="88" spans="1:9" ht="15.75" thickBot="1">
      <c r="A88" s="450" t="s">
        <v>103</v>
      </c>
      <c r="B88" s="450"/>
      <c r="C88" s="436"/>
      <c r="D88" s="436"/>
      <c r="E88" s="436"/>
      <c r="F88" s="436"/>
      <c r="G88" s="436"/>
      <c r="H88" s="436"/>
    </row>
    <row r="89" spans="1:9">
      <c r="A89" s="487" t="s">
        <v>80</v>
      </c>
      <c r="B89" s="488"/>
      <c r="C89" s="488"/>
      <c r="D89" s="488"/>
      <c r="E89" s="489"/>
      <c r="F89" s="490" t="s">
        <v>104</v>
      </c>
      <c r="G89" s="491" t="s">
        <v>105</v>
      </c>
      <c r="H89" s="457"/>
    </row>
    <row r="90" spans="1:9">
      <c r="A90" s="469" t="s">
        <v>106</v>
      </c>
      <c r="B90" s="467"/>
      <c r="C90" s="467"/>
      <c r="D90" s="467"/>
      <c r="E90" s="468"/>
      <c r="F90" s="492">
        <f>PRESUPUESTO!$E$222</f>
        <v>0.109</v>
      </c>
      <c r="G90" s="493">
        <f>+F90*H87</f>
        <v>8759.2693461538456</v>
      </c>
      <c r="H90" s="460"/>
    </row>
    <row r="91" spans="1:9">
      <c r="A91" s="469" t="s">
        <v>107</v>
      </c>
      <c r="B91" s="467"/>
      <c r="C91" s="467"/>
      <c r="D91" s="467"/>
      <c r="E91" s="468"/>
      <c r="F91" s="492">
        <f>PRESUPUESTO!$E$223</f>
        <v>0.05</v>
      </c>
      <c r="G91" s="493">
        <f>+F91*H87</f>
        <v>4018.0134615384618</v>
      </c>
      <c r="H91" s="460"/>
    </row>
    <row r="92" spans="1:9" ht="15.75" thickBot="1">
      <c r="A92" s="472" t="s">
        <v>108</v>
      </c>
      <c r="B92" s="473"/>
      <c r="C92" s="473"/>
      <c r="D92" s="473"/>
      <c r="E92" s="474"/>
      <c r="F92" s="494">
        <v>0</v>
      </c>
      <c r="G92" s="495">
        <f>+F92*H87</f>
        <v>0</v>
      </c>
      <c r="H92" s="465"/>
    </row>
    <row r="93" spans="1:9" ht="15.75" thickBot="1">
      <c r="A93" s="436"/>
      <c r="B93" s="436"/>
      <c r="C93" s="436"/>
      <c r="D93" s="436"/>
      <c r="E93" s="436"/>
      <c r="F93" s="436"/>
      <c r="G93" s="437" t="s">
        <v>86</v>
      </c>
      <c r="H93" s="496">
        <f>SUM(G90:G92)</f>
        <v>12777.282807692307</v>
      </c>
    </row>
    <row r="94" spans="1:9" ht="15.75" thickBot="1">
      <c r="A94" s="436"/>
      <c r="B94" s="436"/>
      <c r="C94" s="436"/>
      <c r="D94" s="436"/>
      <c r="E94" s="436"/>
      <c r="F94" s="436"/>
      <c r="G94" s="436"/>
      <c r="H94" s="436"/>
    </row>
    <row r="95" spans="1:9" ht="15.75" thickBot="1">
      <c r="A95" s="446"/>
      <c r="B95" s="446"/>
      <c r="C95" s="436"/>
      <c r="D95" s="484" t="s">
        <v>109</v>
      </c>
      <c r="E95" s="485"/>
      <c r="F95" s="485"/>
      <c r="G95" s="485"/>
      <c r="H95" s="466">
        <f>ROUND((H87+H93),0)</f>
        <v>93138</v>
      </c>
    </row>
    <row r="97" spans="1:14">
      <c r="A97" s="186" t="s">
        <v>77</v>
      </c>
      <c r="B97" s="446"/>
      <c r="C97" s="446"/>
      <c r="D97" s="446"/>
      <c r="E97" s="446"/>
      <c r="F97" s="446"/>
      <c r="G97" s="446"/>
      <c r="H97" s="446"/>
    </row>
    <row r="98" spans="1:14" ht="15.75" thickBot="1">
      <c r="A98" s="446"/>
      <c r="B98" s="446"/>
      <c r="C98" s="446"/>
      <c r="D98" s="446"/>
      <c r="E98" s="446"/>
      <c r="F98" s="446"/>
      <c r="G98" s="446"/>
      <c r="H98" s="446"/>
    </row>
    <row r="99" spans="1:14">
      <c r="A99" s="1348" t="s">
        <v>213</v>
      </c>
      <c r="B99" s="1349"/>
      <c r="C99" s="1350"/>
      <c r="D99" s="448"/>
      <c r="E99" s="448"/>
      <c r="F99" s="448"/>
      <c r="G99" s="448"/>
      <c r="H99" s="449"/>
    </row>
    <row r="100" spans="1:14">
      <c r="A100" s="1351"/>
      <c r="B100" s="1352"/>
      <c r="C100" s="1353"/>
      <c r="D100" s="436"/>
      <c r="E100" s="450" t="s">
        <v>78</v>
      </c>
      <c r="F100" s="436"/>
      <c r="G100" s="436"/>
      <c r="H100" s="451"/>
    </row>
    <row r="101" spans="1:14" ht="15.75" thickBot="1">
      <c r="A101" s="1354"/>
      <c r="B101" s="1355"/>
      <c r="C101" s="1356"/>
      <c r="D101" s="1360"/>
      <c r="E101" s="1361"/>
      <c r="F101" s="1361"/>
      <c r="G101" s="1361"/>
      <c r="H101" s="1362"/>
    </row>
    <row r="102" spans="1:14">
      <c r="A102" s="455"/>
      <c r="B102" s="436"/>
      <c r="C102" s="436"/>
      <c r="D102" s="436"/>
      <c r="E102" s="436"/>
      <c r="F102" s="436"/>
      <c r="G102" s="436"/>
      <c r="H102" s="436"/>
    </row>
    <row r="103" spans="1:14" s="446" customFormat="1" ht="12.75">
      <c r="A103" s="455" t="s">
        <v>1146</v>
      </c>
      <c r="B103" s="456" t="str">
        <f>+PRESUPUESTO!$B$70</f>
        <v>INSTALACIONES ELÉCTRICAS</v>
      </c>
      <c r="C103" s="436"/>
      <c r="E103" s="456"/>
      <c r="G103" s="456" t="s">
        <v>1123</v>
      </c>
      <c r="H103" s="483" t="s">
        <v>1166</v>
      </c>
      <c r="I103" s="436"/>
      <c r="J103" s="436"/>
    </row>
    <row r="104" spans="1:14" s="931" customFormat="1" ht="52.15" customHeight="1">
      <c r="A104" s="928" t="s">
        <v>1122</v>
      </c>
      <c r="B104" s="1375" t="str">
        <f>VLOOKUP(H103,PRESUPUESTO!$A$18:$F$251,2,FALSE)</f>
        <v xml:space="preserve">Suministro, transporte e instalación de tablero de medida  y protección tipo intemperie Alumbrado Publico ubicado en poste Grado IP-55, incluye protección principal de 2x40A, MEDIDOR DE ENERGÍA  1F, 3H,  5(60)A, 240/120V, ENERGIA ACTIVA ,  y demás accesorios para su funcionamiento. </v>
      </c>
      <c r="C104" s="1375"/>
      <c r="D104" s="1375"/>
      <c r="E104" s="1375"/>
      <c r="F104" s="1375"/>
      <c r="G104" s="929" t="s">
        <v>9</v>
      </c>
      <c r="H104" s="1024" t="str">
        <f>VLOOKUP(H103,PRESUPUESTO!$A$18:$F$251,3,FALSE)</f>
        <v>un</v>
      </c>
    </row>
    <row r="105" spans="1:14">
      <c r="A105" s="456"/>
      <c r="B105" s="456"/>
      <c r="C105" s="436"/>
      <c r="D105" s="456"/>
      <c r="E105" s="456"/>
      <c r="F105" s="456"/>
      <c r="G105" s="456"/>
      <c r="H105" s="436"/>
    </row>
    <row r="106" spans="1:14" ht="15.75" thickBot="1">
      <c r="A106" s="450" t="s">
        <v>79</v>
      </c>
      <c r="B106" s="450"/>
      <c r="C106" s="436"/>
      <c r="D106" s="436"/>
      <c r="E106" s="436"/>
      <c r="F106" s="436"/>
      <c r="G106" s="436"/>
      <c r="H106" s="436"/>
    </row>
    <row r="107" spans="1:14">
      <c r="A107" s="1345" t="s">
        <v>80</v>
      </c>
      <c r="B107" s="1346"/>
      <c r="C107" s="1347"/>
      <c r="D107" s="438" t="s">
        <v>81</v>
      </c>
      <c r="E107" s="438" t="s">
        <v>82</v>
      </c>
      <c r="F107" s="438" t="s">
        <v>83</v>
      </c>
      <c r="G107" s="439" t="s">
        <v>84</v>
      </c>
      <c r="H107" s="457"/>
    </row>
    <row r="108" spans="1:14">
      <c r="A108" s="1357" t="s">
        <v>471</v>
      </c>
      <c r="B108" s="1358"/>
      <c r="C108" s="1359"/>
      <c r="D108" s="459" t="s">
        <v>268</v>
      </c>
      <c r="E108" s="998">
        <f>+H134</f>
        <v>182212</v>
      </c>
      <c r="F108" s="998">
        <v>0.05</v>
      </c>
      <c r="G108" s="432">
        <f>E108*F108</f>
        <v>9110.6</v>
      </c>
      <c r="H108" s="460"/>
    </row>
    <row r="109" spans="1:14" s="446" customFormat="1" ht="12.75">
      <c r="A109" s="1376" t="s">
        <v>694</v>
      </c>
      <c r="B109" s="1377"/>
      <c r="C109" s="1378"/>
      <c r="D109" s="777" t="s">
        <v>1084</v>
      </c>
      <c r="E109" s="1011">
        <f>20570*1.19</f>
        <v>24478.3</v>
      </c>
      <c r="F109" s="779">
        <f>+F129*2</f>
        <v>3</v>
      </c>
      <c r="G109" s="780">
        <f>+E109/F109</f>
        <v>8159.4333333333334</v>
      </c>
      <c r="H109" s="776"/>
    </row>
    <row r="110" spans="1:14" ht="15.75" thickBot="1">
      <c r="A110" s="1342"/>
      <c r="B110" s="1343"/>
      <c r="C110" s="1344"/>
      <c r="D110" s="464"/>
      <c r="E110" s="433"/>
      <c r="F110" s="434"/>
      <c r="G110" s="441">
        <f>E110*F110</f>
        <v>0</v>
      </c>
      <c r="H110" s="465"/>
    </row>
    <row r="111" spans="1:14" ht="15.75" thickBot="1">
      <c r="A111" s="436"/>
      <c r="B111" s="436"/>
      <c r="C111" s="436"/>
      <c r="D111" s="436"/>
      <c r="E111" s="436"/>
      <c r="F111" s="436"/>
      <c r="G111" s="437" t="s">
        <v>86</v>
      </c>
      <c r="H111" s="466">
        <f>SUM(G108:G110)</f>
        <v>17270.033333333333</v>
      </c>
      <c r="J111" s="1412" t="s">
        <v>1119</v>
      </c>
      <c r="K111" s="1412"/>
      <c r="L111" s="1412"/>
      <c r="M111" s="1412"/>
      <c r="N111" s="1412"/>
    </row>
    <row r="112" spans="1:14" ht="15.75" thickBot="1">
      <c r="A112" s="450" t="s">
        <v>87</v>
      </c>
      <c r="B112" s="450"/>
      <c r="C112" s="436"/>
      <c r="D112" s="436"/>
      <c r="E112" s="436"/>
      <c r="F112" s="436"/>
      <c r="G112" s="436"/>
      <c r="H112" s="436"/>
    </row>
    <row r="113" spans="1:10">
      <c r="A113" s="1345" t="s">
        <v>80</v>
      </c>
      <c r="B113" s="1346"/>
      <c r="C113" s="1347"/>
      <c r="D113" s="438" t="s">
        <v>88</v>
      </c>
      <c r="E113" s="438" t="s">
        <v>89</v>
      </c>
      <c r="F113" s="438" t="s">
        <v>90</v>
      </c>
      <c r="G113" s="439" t="s">
        <v>84</v>
      </c>
      <c r="H113" s="457"/>
    </row>
    <row r="114" spans="1:10">
      <c r="A114" s="1357" t="s">
        <v>426</v>
      </c>
      <c r="B114" s="1358"/>
      <c r="C114" s="1359"/>
      <c r="D114" s="1004" t="s">
        <v>268</v>
      </c>
      <c r="E114" s="1010">
        <f>105000*1.19</f>
        <v>124950</v>
      </c>
      <c r="F114" s="1003">
        <v>1</v>
      </c>
      <c r="G114" s="1003">
        <f>E114*F114</f>
        <v>124950</v>
      </c>
      <c r="H114" s="451"/>
    </row>
    <row r="115" spans="1:10">
      <c r="A115" s="1357" t="s">
        <v>427</v>
      </c>
      <c r="B115" s="1358"/>
      <c r="C115" s="1359"/>
      <c r="D115" s="1004" t="s">
        <v>268</v>
      </c>
      <c r="E115" s="1010">
        <f>311200*1.19</f>
        <v>370328</v>
      </c>
      <c r="F115" s="1003">
        <v>1</v>
      </c>
      <c r="G115" s="1003">
        <f>E115*F115</f>
        <v>370328</v>
      </c>
      <c r="H115" s="451"/>
      <c r="I115" s="672"/>
    </row>
    <row r="116" spans="1:10" ht="14.45" customHeight="1">
      <c r="A116" s="1357" t="s">
        <v>1118</v>
      </c>
      <c r="B116" s="1358"/>
      <c r="C116" s="1359"/>
      <c r="D116" s="1004" t="s">
        <v>268</v>
      </c>
      <c r="E116" s="1010">
        <v>473000</v>
      </c>
      <c r="F116" s="1003">
        <v>1</v>
      </c>
      <c r="G116" s="1003">
        <f>E116*F116</f>
        <v>473000</v>
      </c>
      <c r="H116" s="451"/>
    </row>
    <row r="117" spans="1:10">
      <c r="A117" s="1005"/>
      <c r="B117" s="1006"/>
      <c r="C117" s="1007"/>
      <c r="D117" s="1002"/>
      <c r="E117" s="1002"/>
      <c r="F117" s="1003"/>
      <c r="G117" s="1003"/>
      <c r="H117" s="451"/>
      <c r="J117" s="486"/>
    </row>
    <row r="118" spans="1:10">
      <c r="A118" s="469"/>
      <c r="B118" s="467"/>
      <c r="C118" s="468"/>
      <c r="D118" s="459"/>
      <c r="E118" s="430"/>
      <c r="F118" s="431"/>
      <c r="G118" s="432"/>
      <c r="H118" s="460"/>
    </row>
    <row r="119" spans="1:10" ht="15.75" thickBot="1">
      <c r="A119" s="472"/>
      <c r="B119" s="473"/>
      <c r="C119" s="474"/>
      <c r="D119" s="464"/>
      <c r="E119" s="433"/>
      <c r="F119" s="434"/>
      <c r="G119" s="435"/>
      <c r="H119" s="465"/>
    </row>
    <row r="120" spans="1:10" ht="15.75" thickBot="1">
      <c r="A120" s="436"/>
      <c r="B120" s="436"/>
      <c r="C120" s="436"/>
      <c r="D120" s="436"/>
      <c r="E120" s="436"/>
      <c r="F120" s="436"/>
      <c r="G120" s="437" t="s">
        <v>86</v>
      </c>
      <c r="H120" s="466">
        <f>SUM(G114:G119)</f>
        <v>968278</v>
      </c>
    </row>
    <row r="121" spans="1:10" ht="15.75" thickBot="1">
      <c r="A121" s="450" t="s">
        <v>94</v>
      </c>
      <c r="B121" s="450"/>
      <c r="C121" s="436"/>
      <c r="D121" s="436"/>
      <c r="E121" s="436"/>
      <c r="F121" s="436"/>
      <c r="G121" s="436"/>
      <c r="H121" s="436"/>
    </row>
    <row r="122" spans="1:10">
      <c r="A122" s="1345" t="s">
        <v>95</v>
      </c>
      <c r="B122" s="1346"/>
      <c r="C122" s="1347"/>
      <c r="D122" s="438" t="s">
        <v>88</v>
      </c>
      <c r="E122" s="438" t="s">
        <v>89</v>
      </c>
      <c r="F122" s="438" t="s">
        <v>90</v>
      </c>
      <c r="G122" s="439" t="s">
        <v>84</v>
      </c>
      <c r="H122" s="457"/>
    </row>
    <row r="123" spans="1:10">
      <c r="A123" s="458" t="s">
        <v>673</v>
      </c>
      <c r="B123" s="467"/>
      <c r="C123" s="468"/>
      <c r="D123" s="459" t="s">
        <v>668</v>
      </c>
      <c r="E123" s="430">
        <v>165000</v>
      </c>
      <c r="F123" s="440">
        <f>1/20</f>
        <v>0.05</v>
      </c>
      <c r="G123" s="432">
        <f>E123*F123</f>
        <v>8250</v>
      </c>
      <c r="H123" s="460"/>
    </row>
    <row r="124" spans="1:10">
      <c r="A124" s="458" t="s">
        <v>235</v>
      </c>
      <c r="B124" s="467"/>
      <c r="C124" s="468"/>
      <c r="D124" s="459" t="s">
        <v>173</v>
      </c>
      <c r="E124" s="430">
        <v>21500</v>
      </c>
      <c r="F124" s="440">
        <f>1/4</f>
        <v>0.25</v>
      </c>
      <c r="G124" s="432">
        <f>E124*F124</f>
        <v>5375</v>
      </c>
      <c r="H124" s="460"/>
    </row>
    <row r="125" spans="1:10" ht="15.75" thickBot="1">
      <c r="A125" s="1342"/>
      <c r="B125" s="1343"/>
      <c r="C125" s="1344"/>
      <c r="D125" s="475"/>
      <c r="E125" s="433"/>
      <c r="F125" s="434"/>
      <c r="G125" s="441"/>
      <c r="H125" s="460"/>
    </row>
    <row r="126" spans="1:10" ht="15.75" thickBot="1">
      <c r="A126" s="436"/>
      <c r="B126" s="436"/>
      <c r="C126" s="436"/>
      <c r="D126" s="436"/>
      <c r="E126" s="436"/>
      <c r="F126" s="436"/>
      <c r="G126" s="437" t="s">
        <v>86</v>
      </c>
      <c r="H126" s="466">
        <f>SUM(G123:G125)</f>
        <v>13625</v>
      </c>
      <c r="I126" s="676"/>
    </row>
    <row r="127" spans="1:10" ht="15.75" thickBot="1">
      <c r="A127" s="450" t="s">
        <v>96</v>
      </c>
      <c r="B127" s="450"/>
      <c r="C127" s="436"/>
      <c r="D127" s="436"/>
      <c r="E127" s="436"/>
      <c r="F127" s="436"/>
      <c r="G127" s="436"/>
      <c r="H127" s="436"/>
    </row>
    <row r="128" spans="1:10">
      <c r="A128" s="476" t="s">
        <v>97</v>
      </c>
      <c r="B128" s="438"/>
      <c r="C128" s="438" t="s">
        <v>98</v>
      </c>
      <c r="D128" s="438" t="s">
        <v>99</v>
      </c>
      <c r="E128" s="442" t="s">
        <v>100</v>
      </c>
      <c r="F128" s="443" t="s">
        <v>83</v>
      </c>
      <c r="G128" s="444" t="s">
        <v>84</v>
      </c>
      <c r="H128" s="477"/>
    </row>
    <row r="129" spans="1:10">
      <c r="A129" s="478" t="s">
        <v>1109</v>
      </c>
      <c r="B129" s="467"/>
      <c r="C129" s="479">
        <f>+PERSONAL!E34</f>
        <v>100000</v>
      </c>
      <c r="D129" s="480">
        <f>PERSONAL!$F$31</f>
        <v>1.7431000000000001</v>
      </c>
      <c r="E129" s="440">
        <f>+D129*C129</f>
        <v>174310</v>
      </c>
      <c r="F129" s="440">
        <v>1.5</v>
      </c>
      <c r="G129" s="445">
        <f>ROUND(E129/F129,0)</f>
        <v>116207</v>
      </c>
      <c r="H129" s="451"/>
    </row>
    <row r="130" spans="1:10">
      <c r="A130" s="478" t="s">
        <v>1110</v>
      </c>
      <c r="B130" s="467"/>
      <c r="C130" s="479">
        <f>+PERSONAL!E33</f>
        <v>56800</v>
      </c>
      <c r="D130" s="480">
        <f>PERSONAL!$F$31</f>
        <v>1.7431000000000001</v>
      </c>
      <c r="E130" s="440">
        <f>+D130*C130</f>
        <v>99008.08</v>
      </c>
      <c r="F130" s="440">
        <f>+F129</f>
        <v>1.5</v>
      </c>
      <c r="G130" s="445">
        <f>ROUND(E130/F130,0)</f>
        <v>66005</v>
      </c>
      <c r="H130" s="451"/>
    </row>
    <row r="131" spans="1:10">
      <c r="A131" s="478"/>
      <c r="B131" s="468"/>
      <c r="C131" s="430"/>
      <c r="D131" s="459"/>
      <c r="E131" s="430"/>
      <c r="F131" s="440"/>
      <c r="G131" s="445"/>
      <c r="H131" s="451"/>
    </row>
    <row r="132" spans="1:10">
      <c r="A132" s="478"/>
      <c r="B132" s="468"/>
      <c r="C132" s="430"/>
      <c r="D132" s="459"/>
      <c r="E132" s="430"/>
      <c r="F132" s="440"/>
      <c r="G132" s="445"/>
      <c r="H132" s="451"/>
    </row>
    <row r="133" spans="1:10" ht="15.75" thickBot="1">
      <c r="A133" s="481"/>
      <c r="B133" s="474"/>
      <c r="C133" s="474"/>
      <c r="D133" s="474"/>
      <c r="E133" s="474"/>
      <c r="F133" s="474"/>
      <c r="G133" s="482"/>
      <c r="H133" s="482"/>
    </row>
    <row r="134" spans="1:10" ht="15.75" thickBot="1">
      <c r="A134" s="436"/>
      <c r="B134" s="436"/>
      <c r="C134" s="436"/>
      <c r="D134" s="436"/>
      <c r="E134" s="436"/>
      <c r="F134" s="436"/>
      <c r="G134" s="437" t="s">
        <v>86</v>
      </c>
      <c r="H134" s="466">
        <f>SUM(G129:G133)</f>
        <v>182212</v>
      </c>
    </row>
    <row r="135" spans="1:10" ht="15.75" thickBot="1">
      <c r="A135" s="436"/>
      <c r="B135" s="436"/>
      <c r="C135" s="436"/>
      <c r="D135" s="436"/>
      <c r="E135" s="436"/>
      <c r="F135" s="436"/>
      <c r="G135" s="483"/>
      <c r="H135" s="436"/>
    </row>
    <row r="136" spans="1:10" ht="15.75" thickBot="1">
      <c r="A136" s="436"/>
      <c r="B136" s="436"/>
      <c r="C136" s="436"/>
      <c r="D136" s="436"/>
      <c r="E136" s="484" t="s">
        <v>102</v>
      </c>
      <c r="F136" s="485"/>
      <c r="G136" s="485"/>
      <c r="H136" s="466">
        <f>H111+H120+H126+H134</f>
        <v>1181385.0333333332</v>
      </c>
      <c r="J136" s="503"/>
    </row>
    <row r="137" spans="1:10" ht="15.75" thickBot="1">
      <c r="A137" s="450" t="s">
        <v>103</v>
      </c>
      <c r="B137" s="450"/>
      <c r="C137" s="436"/>
      <c r="D137" s="436"/>
      <c r="E137" s="436"/>
      <c r="F137" s="436"/>
      <c r="G137" s="436"/>
      <c r="H137" s="436"/>
    </row>
    <row r="138" spans="1:10">
      <c r="A138" s="487" t="s">
        <v>80</v>
      </c>
      <c r="B138" s="488"/>
      <c r="C138" s="488"/>
      <c r="D138" s="488"/>
      <c r="E138" s="489"/>
      <c r="F138" s="490" t="s">
        <v>104</v>
      </c>
      <c r="G138" s="491" t="s">
        <v>105</v>
      </c>
      <c r="H138" s="457"/>
    </row>
    <row r="139" spans="1:10">
      <c r="A139" s="469" t="s">
        <v>106</v>
      </c>
      <c r="B139" s="467"/>
      <c r="C139" s="467"/>
      <c r="D139" s="467"/>
      <c r="E139" s="468"/>
      <c r="F139" s="492">
        <f>PRESUPUESTO!$E$222</f>
        <v>0.109</v>
      </c>
      <c r="G139" s="493">
        <f>+F139*H136</f>
        <v>128770.96863333332</v>
      </c>
      <c r="H139" s="460"/>
    </row>
    <row r="140" spans="1:10">
      <c r="A140" s="469" t="s">
        <v>107</v>
      </c>
      <c r="B140" s="467"/>
      <c r="C140" s="467"/>
      <c r="D140" s="467"/>
      <c r="E140" s="468"/>
      <c r="F140" s="492">
        <f>PRESUPUESTO!$E$223</f>
        <v>0.05</v>
      </c>
      <c r="G140" s="493">
        <f>+F140*H136</f>
        <v>59069.251666666663</v>
      </c>
      <c r="H140" s="460"/>
    </row>
    <row r="141" spans="1:10" ht="15.75" thickBot="1">
      <c r="A141" s="472" t="s">
        <v>108</v>
      </c>
      <c r="B141" s="473"/>
      <c r="C141" s="473"/>
      <c r="D141" s="473"/>
      <c r="E141" s="474"/>
      <c r="F141" s="494">
        <v>0</v>
      </c>
      <c r="G141" s="495">
        <f>+F141*H136</f>
        <v>0</v>
      </c>
      <c r="H141" s="465"/>
    </row>
    <row r="142" spans="1:10" ht="15.75" thickBot="1">
      <c r="A142" s="436"/>
      <c r="B142" s="436"/>
      <c r="C142" s="436"/>
      <c r="D142" s="436"/>
      <c r="E142" s="436"/>
      <c r="F142" s="436"/>
      <c r="G142" s="437" t="s">
        <v>86</v>
      </c>
      <c r="H142" s="496">
        <f>SUM(G139:G141)</f>
        <v>187840.22029999999</v>
      </c>
    </row>
    <row r="143" spans="1:10" ht="15.75" thickBot="1">
      <c r="A143" s="436"/>
      <c r="B143" s="436"/>
      <c r="C143" s="436"/>
      <c r="D143" s="436"/>
      <c r="E143" s="436"/>
      <c r="F143" s="436"/>
      <c r="G143" s="436"/>
      <c r="H143" s="436"/>
    </row>
    <row r="144" spans="1:10" ht="15.75" thickBot="1">
      <c r="A144" s="446"/>
      <c r="B144" s="446"/>
      <c r="C144" s="436"/>
      <c r="D144" s="484" t="s">
        <v>109</v>
      </c>
      <c r="E144" s="485"/>
      <c r="F144" s="485"/>
      <c r="G144" s="485"/>
      <c r="H144" s="466">
        <f>ROUND((H136+H142),0)</f>
        <v>1369225</v>
      </c>
    </row>
    <row r="145" spans="1:10">
      <c r="A145" s="446"/>
      <c r="B145" s="446"/>
      <c r="C145" s="446"/>
      <c r="D145" s="446"/>
      <c r="E145" s="446"/>
      <c r="F145" s="446"/>
      <c r="G145" s="446"/>
      <c r="H145" s="446"/>
    </row>
    <row r="146" spans="1:10">
      <c r="A146" s="186" t="s">
        <v>77</v>
      </c>
      <c r="B146" s="446"/>
      <c r="C146" s="446"/>
      <c r="D146" s="446"/>
      <c r="E146" s="446"/>
      <c r="F146" s="446"/>
      <c r="G146" s="446"/>
      <c r="H146" s="446"/>
    </row>
    <row r="147" spans="1:10" ht="15.75" thickBot="1">
      <c r="A147" s="446"/>
      <c r="B147" s="446"/>
      <c r="C147" s="446"/>
      <c r="D147" s="446"/>
      <c r="E147" s="446"/>
      <c r="F147" s="446"/>
      <c r="G147" s="446"/>
      <c r="H147" s="446"/>
    </row>
    <row r="148" spans="1:10">
      <c r="A148" s="1348" t="s">
        <v>213</v>
      </c>
      <c r="B148" s="1349"/>
      <c r="C148" s="1350"/>
      <c r="D148" s="448"/>
      <c r="E148" s="448"/>
      <c r="F148" s="448"/>
      <c r="G148" s="448"/>
      <c r="H148" s="449"/>
    </row>
    <row r="149" spans="1:10">
      <c r="A149" s="1351"/>
      <c r="B149" s="1352"/>
      <c r="C149" s="1353"/>
      <c r="D149" s="436"/>
      <c r="E149" s="450" t="s">
        <v>78</v>
      </c>
      <c r="F149" s="436"/>
      <c r="G149" s="436"/>
      <c r="H149" s="451"/>
    </row>
    <row r="150" spans="1:10" ht="15.75" thickBot="1">
      <c r="A150" s="1354"/>
      <c r="B150" s="1355"/>
      <c r="C150" s="1356"/>
      <c r="D150" s="1360"/>
      <c r="E150" s="1361"/>
      <c r="F150" s="1361"/>
      <c r="G150" s="1361"/>
      <c r="H150" s="1362"/>
    </row>
    <row r="151" spans="1:10">
      <c r="A151" s="455"/>
      <c r="B151" s="436"/>
      <c r="C151" s="436"/>
      <c r="D151" s="436"/>
      <c r="E151" s="436"/>
      <c r="F151" s="436"/>
      <c r="G151" s="436"/>
      <c r="H151" s="436"/>
    </row>
    <row r="152" spans="1:10" s="446" customFormat="1" ht="12.75">
      <c r="A152" s="455" t="s">
        <v>1146</v>
      </c>
      <c r="B152" s="456" t="str">
        <f>+PRESUPUESTO!$B$70</f>
        <v>INSTALACIONES ELÉCTRICAS</v>
      </c>
      <c r="C152" s="436"/>
      <c r="E152" s="456"/>
      <c r="G152" s="456" t="s">
        <v>1123</v>
      </c>
      <c r="H152" s="483" t="s">
        <v>1167</v>
      </c>
      <c r="I152" s="436"/>
      <c r="J152" s="436"/>
    </row>
    <row r="153" spans="1:10" s="931" customFormat="1" ht="52.15" customHeight="1">
      <c r="A153" s="928" t="s">
        <v>1122</v>
      </c>
      <c r="B153" s="1375" t="str">
        <f>VLOOKUP(H152,PRESUPUESTO!$A$18:$F$251,2,FALSE)</f>
        <v>Suministro, transporte e instalación de Puesta a Tierra de acuerdo con la Norma EPM RA6-010</v>
      </c>
      <c r="C153" s="1375"/>
      <c r="D153" s="1375"/>
      <c r="E153" s="1375"/>
      <c r="F153" s="1375"/>
      <c r="G153" s="929" t="s">
        <v>9</v>
      </c>
      <c r="H153" s="1024" t="str">
        <f>VLOOKUP(H152,PRESUPUESTO!$A$18:$F$251,3,FALSE)</f>
        <v>un</v>
      </c>
    </row>
    <row r="154" spans="1:10">
      <c r="A154" s="456"/>
      <c r="B154" s="456"/>
      <c r="C154" s="436"/>
      <c r="D154" s="456"/>
      <c r="E154" s="456"/>
      <c r="F154" s="456"/>
      <c r="G154" s="456"/>
      <c r="H154" s="436"/>
    </row>
    <row r="155" spans="1:10" ht="15.75" thickBot="1">
      <c r="A155" s="450" t="s">
        <v>79</v>
      </c>
      <c r="B155" s="450"/>
      <c r="C155" s="436"/>
      <c r="D155" s="436"/>
      <c r="E155" s="436"/>
      <c r="F155" s="436"/>
      <c r="G155" s="436"/>
      <c r="H155" s="436"/>
    </row>
    <row r="156" spans="1:10">
      <c r="A156" s="1345" t="s">
        <v>80</v>
      </c>
      <c r="B156" s="1346"/>
      <c r="C156" s="1347"/>
      <c r="D156" s="438" t="s">
        <v>81</v>
      </c>
      <c r="E156" s="438" t="s">
        <v>82</v>
      </c>
      <c r="F156" s="438" t="s">
        <v>83</v>
      </c>
      <c r="G156" s="439" t="s">
        <v>84</v>
      </c>
      <c r="H156" s="457"/>
    </row>
    <row r="157" spans="1:10">
      <c r="A157" s="1357" t="s">
        <v>471</v>
      </c>
      <c r="B157" s="1358"/>
      <c r="C157" s="1359"/>
      <c r="D157" s="459" t="s">
        <v>268</v>
      </c>
      <c r="E157" s="440">
        <v>100000</v>
      </c>
      <c r="F157" s="440">
        <v>1</v>
      </c>
      <c r="G157" s="432">
        <f>E157*F157</f>
        <v>100000</v>
      </c>
      <c r="H157" s="460"/>
    </row>
    <row r="158" spans="1:10">
      <c r="A158" s="1357"/>
      <c r="B158" s="1358"/>
      <c r="C158" s="1359"/>
      <c r="D158" s="461"/>
      <c r="E158" s="462"/>
      <c r="F158" s="497"/>
      <c r="G158" s="432">
        <f>E158*F158</f>
        <v>0</v>
      </c>
      <c r="H158" s="460"/>
    </row>
    <row r="159" spans="1:10" ht="15.75" thickBot="1">
      <c r="A159" s="1342"/>
      <c r="B159" s="1343"/>
      <c r="C159" s="1344"/>
      <c r="D159" s="464"/>
      <c r="E159" s="433"/>
      <c r="F159" s="434"/>
      <c r="G159" s="441">
        <f>E159*F159</f>
        <v>0</v>
      </c>
      <c r="H159" s="465"/>
    </row>
    <row r="160" spans="1:10" ht="15.75" thickBot="1">
      <c r="A160" s="436"/>
      <c r="B160" s="436"/>
      <c r="C160" s="436"/>
      <c r="D160" s="436"/>
      <c r="E160" s="436"/>
      <c r="F160" s="436"/>
      <c r="G160" s="437" t="s">
        <v>86</v>
      </c>
      <c r="H160" s="466">
        <f>SUM(G157:G159)</f>
        <v>100000</v>
      </c>
    </row>
    <row r="161" spans="1:15" ht="15.75" thickBot="1">
      <c r="A161" s="450" t="s">
        <v>87</v>
      </c>
      <c r="B161" s="450"/>
      <c r="C161" s="436"/>
      <c r="D161" s="436"/>
      <c r="E161" s="436"/>
      <c r="F161" s="436"/>
      <c r="G161" s="436"/>
      <c r="H161" s="436"/>
    </row>
    <row r="162" spans="1:15">
      <c r="A162" s="1345" t="s">
        <v>80</v>
      </c>
      <c r="B162" s="1346"/>
      <c r="C162" s="1347"/>
      <c r="D162" s="438" t="s">
        <v>88</v>
      </c>
      <c r="E162" s="438" t="s">
        <v>89</v>
      </c>
      <c r="F162" s="438" t="s">
        <v>90</v>
      </c>
      <c r="G162" s="439" t="s">
        <v>84</v>
      </c>
      <c r="H162" s="457"/>
    </row>
    <row r="163" spans="1:15">
      <c r="A163" s="458" t="s">
        <v>429</v>
      </c>
      <c r="B163" s="467"/>
      <c r="C163" s="468"/>
      <c r="D163" s="459" t="s">
        <v>271</v>
      </c>
      <c r="E163" s="430">
        <f>239800/2.4</f>
        <v>99916.666666666672</v>
      </c>
      <c r="F163" s="440">
        <v>1.05</v>
      </c>
      <c r="G163" s="432">
        <f>E163*F163</f>
        <v>104912.50000000001</v>
      </c>
      <c r="H163" s="460"/>
    </row>
    <row r="164" spans="1:15">
      <c r="A164" s="469" t="s">
        <v>430</v>
      </c>
      <c r="B164" s="467"/>
      <c r="C164" s="468"/>
      <c r="D164" s="459" t="s">
        <v>268</v>
      </c>
      <c r="E164" s="430">
        <v>24200</v>
      </c>
      <c r="F164" s="440">
        <v>1</v>
      </c>
      <c r="G164" s="432">
        <f>E164*F164</f>
        <v>24200</v>
      </c>
      <c r="H164" s="460"/>
    </row>
    <row r="165" spans="1:15">
      <c r="A165" s="469" t="s">
        <v>431</v>
      </c>
      <c r="B165" s="467"/>
      <c r="C165" s="471"/>
      <c r="D165" s="459" t="s">
        <v>268</v>
      </c>
      <c r="E165" s="674">
        <f>17516*1.19</f>
        <v>20844.04</v>
      </c>
      <c r="F165" s="1008">
        <f>5*1.05</f>
        <v>5.25</v>
      </c>
      <c r="G165" s="432">
        <f>E165*F165</f>
        <v>109431.21</v>
      </c>
      <c r="H165" s="460"/>
      <c r="I165" s="671" t="s">
        <v>1105</v>
      </c>
    </row>
    <row r="166" spans="1:15">
      <c r="A166" s="469"/>
      <c r="B166" s="467"/>
      <c r="C166" s="468"/>
      <c r="D166" s="459"/>
      <c r="E166" s="430"/>
      <c r="F166" s="431"/>
      <c r="G166" s="432"/>
      <c r="H166" s="460"/>
    </row>
    <row r="167" spans="1:15">
      <c r="A167" s="469"/>
      <c r="B167" s="467"/>
      <c r="C167" s="468"/>
      <c r="D167" s="459"/>
      <c r="E167" s="430"/>
      <c r="F167" s="431"/>
      <c r="G167" s="432"/>
      <c r="H167" s="460"/>
    </row>
    <row r="168" spans="1:15" ht="15.75" thickBot="1">
      <c r="A168" s="472"/>
      <c r="B168" s="473"/>
      <c r="C168" s="474"/>
      <c r="D168" s="464"/>
      <c r="E168" s="433"/>
      <c r="F168" s="434"/>
      <c r="G168" s="435"/>
      <c r="H168" s="465"/>
    </row>
    <row r="169" spans="1:15" ht="15.75" thickBot="1">
      <c r="A169" s="436"/>
      <c r="B169" s="436"/>
      <c r="C169" s="436"/>
      <c r="D169" s="436"/>
      <c r="E169" s="436"/>
      <c r="F169" s="436"/>
      <c r="G169" s="437" t="s">
        <v>86</v>
      </c>
      <c r="H169" s="466">
        <f>SUM(G163:G168)</f>
        <v>238543.71000000002</v>
      </c>
    </row>
    <row r="170" spans="1:15" ht="15.75" thickBot="1">
      <c r="A170" s="450" t="s">
        <v>94</v>
      </c>
      <c r="B170" s="450"/>
      <c r="C170" s="436"/>
      <c r="D170" s="436"/>
      <c r="E170" s="436"/>
      <c r="F170" s="436"/>
      <c r="G170" s="436"/>
      <c r="H170" s="436"/>
    </row>
    <row r="171" spans="1:15">
      <c r="A171" s="1345" t="s">
        <v>95</v>
      </c>
      <c r="B171" s="1346"/>
      <c r="C171" s="1347"/>
      <c r="D171" s="438" t="s">
        <v>88</v>
      </c>
      <c r="E171" s="438" t="s">
        <v>89</v>
      </c>
      <c r="F171" s="438" t="s">
        <v>90</v>
      </c>
      <c r="G171" s="439" t="s">
        <v>84</v>
      </c>
      <c r="H171" s="457"/>
    </row>
    <row r="172" spans="1:15">
      <c r="A172" s="458" t="s">
        <v>235</v>
      </c>
      <c r="B172" s="467"/>
      <c r="C172" s="468"/>
      <c r="D172" s="459" t="s">
        <v>271</v>
      </c>
      <c r="E172" s="430">
        <v>12500</v>
      </c>
      <c r="F172" s="440">
        <v>1</v>
      </c>
      <c r="G172" s="432">
        <f>E172*F172</f>
        <v>12500</v>
      </c>
      <c r="H172" s="460"/>
    </row>
    <row r="173" spans="1:15" ht="15.75" thickBot="1">
      <c r="A173" s="1342"/>
      <c r="B173" s="1343"/>
      <c r="C173" s="1344"/>
      <c r="D173" s="475"/>
      <c r="E173" s="433"/>
      <c r="F173" s="434"/>
      <c r="G173" s="441"/>
      <c r="H173" s="460"/>
    </row>
    <row r="174" spans="1:15" ht="15.75" thickBot="1">
      <c r="A174" s="436"/>
      <c r="B174" s="436"/>
      <c r="C174" s="436"/>
      <c r="D174" s="436"/>
      <c r="E174" s="436"/>
      <c r="F174" s="436"/>
      <c r="G174" s="437" t="s">
        <v>86</v>
      </c>
      <c r="H174" s="466">
        <f>SUM(G172:G173)</f>
        <v>12500</v>
      </c>
      <c r="K174" s="1412" t="s">
        <v>1119</v>
      </c>
      <c r="L174" s="1412"/>
      <c r="M174" s="1412"/>
      <c r="N174" s="1412"/>
      <c r="O174" s="1412"/>
    </row>
    <row r="175" spans="1:15" ht="15.75" thickBot="1">
      <c r="A175" s="450" t="s">
        <v>96</v>
      </c>
      <c r="B175" s="450"/>
      <c r="C175" s="436"/>
      <c r="D175" s="436"/>
      <c r="E175" s="436"/>
      <c r="F175" s="436"/>
      <c r="G175" s="436"/>
      <c r="H175" s="436"/>
    </row>
    <row r="176" spans="1:15">
      <c r="A176" s="476" t="s">
        <v>97</v>
      </c>
      <c r="B176" s="438"/>
      <c r="C176" s="438" t="s">
        <v>98</v>
      </c>
      <c r="D176" s="438" t="s">
        <v>99</v>
      </c>
      <c r="E176" s="442" t="s">
        <v>100</v>
      </c>
      <c r="F176" s="443" t="s">
        <v>83</v>
      </c>
      <c r="G176" s="444" t="s">
        <v>84</v>
      </c>
      <c r="H176" s="477"/>
    </row>
    <row r="177" spans="1:9">
      <c r="A177" s="478" t="s">
        <v>101</v>
      </c>
      <c r="B177" s="467"/>
      <c r="C177" s="479">
        <f>PERSONAL!$E$32</f>
        <v>87200</v>
      </c>
      <c r="D177" s="480">
        <f>PERSONAL!$F$31</f>
        <v>1.7431000000000001</v>
      </c>
      <c r="E177" s="440">
        <f>+D177*C177</f>
        <v>151998.32</v>
      </c>
      <c r="F177" s="440">
        <v>1.7117596487908044</v>
      </c>
      <c r="G177" s="445">
        <f>ROUND(E177/F177,0)</f>
        <v>88797</v>
      </c>
      <c r="H177" s="451"/>
      <c r="I177" s="672"/>
    </row>
    <row r="178" spans="1:9">
      <c r="A178" s="478"/>
      <c r="B178" s="467"/>
      <c r="C178" s="479"/>
      <c r="D178" s="480"/>
      <c r="E178" s="440"/>
      <c r="F178" s="440"/>
      <c r="G178" s="445"/>
      <c r="H178" s="451"/>
    </row>
    <row r="179" spans="1:9">
      <c r="A179" s="478"/>
      <c r="B179" s="468"/>
      <c r="C179" s="430"/>
      <c r="D179" s="459"/>
      <c r="E179" s="430"/>
      <c r="F179" s="440"/>
      <c r="G179" s="445"/>
      <c r="H179" s="451"/>
    </row>
    <row r="180" spans="1:9">
      <c r="A180" s="478"/>
      <c r="B180" s="468"/>
      <c r="C180" s="430"/>
      <c r="D180" s="459"/>
      <c r="E180" s="430"/>
      <c r="F180" s="440"/>
      <c r="G180" s="445"/>
      <c r="H180" s="451"/>
    </row>
    <row r="181" spans="1:9" ht="15.75" thickBot="1">
      <c r="A181" s="481"/>
      <c r="B181" s="474"/>
      <c r="C181" s="474"/>
      <c r="D181" s="474"/>
      <c r="E181" s="474"/>
      <c r="F181" s="474"/>
      <c r="G181" s="482"/>
      <c r="H181" s="482"/>
    </row>
    <row r="182" spans="1:9" ht="15.75" thickBot="1">
      <c r="A182" s="436"/>
      <c r="B182" s="436"/>
      <c r="C182" s="436"/>
      <c r="D182" s="436"/>
      <c r="E182" s="436"/>
      <c r="F182" s="436"/>
      <c r="G182" s="437" t="s">
        <v>86</v>
      </c>
      <c r="H182" s="466">
        <f>SUM(G177:G181)</f>
        <v>88797</v>
      </c>
    </row>
    <row r="183" spans="1:9" ht="15.75" thickBot="1">
      <c r="A183" s="436"/>
      <c r="B183" s="436"/>
      <c r="C183" s="436"/>
      <c r="D183" s="436"/>
      <c r="E183" s="436"/>
      <c r="F183" s="436"/>
      <c r="G183" s="483"/>
      <c r="H183" s="436"/>
    </row>
    <row r="184" spans="1:9" ht="15.75" thickBot="1">
      <c r="A184" s="436"/>
      <c r="B184" s="436"/>
      <c r="C184" s="436"/>
      <c r="D184" s="436"/>
      <c r="E184" s="484" t="s">
        <v>102</v>
      </c>
      <c r="F184" s="485"/>
      <c r="G184" s="485"/>
      <c r="H184" s="466">
        <f>H160+H169+H174+H182</f>
        <v>439840.71</v>
      </c>
      <c r="I184" s="672"/>
    </row>
    <row r="185" spans="1:9" ht="15.75" thickBot="1">
      <c r="A185" s="450" t="s">
        <v>103</v>
      </c>
      <c r="B185" s="450"/>
      <c r="C185" s="436"/>
      <c r="D185" s="436"/>
      <c r="E185" s="436"/>
      <c r="F185" s="436"/>
      <c r="G185" s="436"/>
      <c r="H185" s="436"/>
    </row>
    <row r="186" spans="1:9">
      <c r="A186" s="487" t="s">
        <v>80</v>
      </c>
      <c r="B186" s="488"/>
      <c r="C186" s="488"/>
      <c r="D186" s="488"/>
      <c r="E186" s="489"/>
      <c r="F186" s="490" t="s">
        <v>104</v>
      </c>
      <c r="G186" s="491" t="s">
        <v>105</v>
      </c>
      <c r="H186" s="457"/>
    </row>
    <row r="187" spans="1:9">
      <c r="A187" s="469" t="s">
        <v>106</v>
      </c>
      <c r="B187" s="467"/>
      <c r="C187" s="467"/>
      <c r="D187" s="467"/>
      <c r="E187" s="468"/>
      <c r="F187" s="492">
        <f>PRESUPUESTO!$E$222</f>
        <v>0.109</v>
      </c>
      <c r="G187" s="493">
        <f>+F187*H184</f>
        <v>47942.637390000004</v>
      </c>
      <c r="H187" s="460"/>
    </row>
    <row r="188" spans="1:9">
      <c r="A188" s="469" t="s">
        <v>107</v>
      </c>
      <c r="B188" s="467"/>
      <c r="C188" s="467"/>
      <c r="D188" s="467"/>
      <c r="E188" s="468"/>
      <c r="F188" s="492">
        <f>PRESUPUESTO!$E$223</f>
        <v>0.05</v>
      </c>
      <c r="G188" s="493">
        <f>+F188*H184</f>
        <v>21992.035500000002</v>
      </c>
      <c r="H188" s="460"/>
    </row>
    <row r="189" spans="1:9" ht="15.75" thickBot="1">
      <c r="A189" s="472" t="s">
        <v>108</v>
      </c>
      <c r="B189" s="473"/>
      <c r="C189" s="473"/>
      <c r="D189" s="473"/>
      <c r="E189" s="474"/>
      <c r="F189" s="494">
        <v>0</v>
      </c>
      <c r="G189" s="495">
        <f>+F189*H184</f>
        <v>0</v>
      </c>
      <c r="H189" s="465"/>
    </row>
    <row r="190" spans="1:9" ht="15.75" thickBot="1">
      <c r="A190" s="436"/>
      <c r="B190" s="436"/>
      <c r="C190" s="436"/>
      <c r="D190" s="436"/>
      <c r="E190" s="436"/>
      <c r="F190" s="436"/>
      <c r="G190" s="437" t="s">
        <v>86</v>
      </c>
      <c r="H190" s="496">
        <f>SUM(G187:G189)</f>
        <v>69934.672890000002</v>
      </c>
    </row>
    <row r="191" spans="1:9" ht="15.75" thickBot="1">
      <c r="A191" s="436"/>
      <c r="B191" s="436"/>
      <c r="C191" s="436"/>
      <c r="D191" s="436"/>
      <c r="E191" s="436"/>
      <c r="F191" s="436"/>
      <c r="G191" s="436"/>
      <c r="H191" s="436"/>
    </row>
    <row r="192" spans="1:9" ht="15.75" thickBot="1">
      <c r="A192" s="446"/>
      <c r="B192" s="446"/>
      <c r="C192" s="436"/>
      <c r="D192" s="484" t="s">
        <v>109</v>
      </c>
      <c r="E192" s="485"/>
      <c r="F192" s="485"/>
      <c r="G192" s="485"/>
      <c r="H192" s="466">
        <f>ROUND((H184+H190),0)</f>
        <v>509775</v>
      </c>
    </row>
    <row r="194" spans="1:10">
      <c r="A194" s="186" t="s">
        <v>77</v>
      </c>
      <c r="B194" s="446"/>
      <c r="C194" s="446"/>
      <c r="D194" s="446"/>
      <c r="E194" s="446"/>
      <c r="F194" s="446"/>
      <c r="G194" s="446"/>
      <c r="H194" s="446"/>
    </row>
    <row r="195" spans="1:10" ht="15.75" thickBot="1">
      <c r="A195" s="446"/>
      <c r="B195" s="446"/>
      <c r="C195" s="446"/>
      <c r="D195" s="446"/>
      <c r="E195" s="446"/>
      <c r="F195" s="446"/>
      <c r="G195" s="446"/>
      <c r="H195" s="446"/>
    </row>
    <row r="196" spans="1:10">
      <c r="A196" s="1348" t="s">
        <v>213</v>
      </c>
      <c r="B196" s="1349"/>
      <c r="C196" s="1350"/>
      <c r="D196" s="448"/>
      <c r="E196" s="448"/>
      <c r="F196" s="448"/>
      <c r="G196" s="448"/>
      <c r="H196" s="449"/>
    </row>
    <row r="197" spans="1:10">
      <c r="A197" s="1351"/>
      <c r="B197" s="1352"/>
      <c r="C197" s="1353"/>
      <c r="D197" s="436"/>
      <c r="E197" s="450" t="s">
        <v>78</v>
      </c>
      <c r="F197" s="436"/>
      <c r="G197" s="436"/>
      <c r="H197" s="451"/>
    </row>
    <row r="198" spans="1:10" ht="15.75" thickBot="1">
      <c r="A198" s="1354"/>
      <c r="B198" s="1355"/>
      <c r="C198" s="1356"/>
      <c r="D198" s="1360"/>
      <c r="E198" s="1361"/>
      <c r="F198" s="1361"/>
      <c r="G198" s="1361"/>
      <c r="H198" s="1362"/>
    </row>
    <row r="199" spans="1:10">
      <c r="A199" s="455"/>
      <c r="B199" s="436"/>
      <c r="C199" s="436"/>
      <c r="D199" s="436"/>
      <c r="E199" s="436"/>
      <c r="F199" s="436"/>
      <c r="G199" s="436"/>
      <c r="H199" s="436"/>
    </row>
    <row r="200" spans="1:10" s="446" customFormat="1" ht="12.75">
      <c r="A200" s="455" t="s">
        <v>1146</v>
      </c>
      <c r="B200" s="456" t="str">
        <f>+PRESUPUESTO!$B$70</f>
        <v>INSTALACIONES ELÉCTRICAS</v>
      </c>
      <c r="C200" s="436"/>
      <c r="E200" s="456"/>
      <c r="G200" s="456" t="s">
        <v>1123</v>
      </c>
      <c r="H200" s="483" t="s">
        <v>1168</v>
      </c>
      <c r="I200" s="436"/>
      <c r="J200" s="436"/>
    </row>
    <row r="201" spans="1:10" s="931" customFormat="1" ht="52.15" customHeight="1">
      <c r="A201" s="928" t="s">
        <v>1122</v>
      </c>
      <c r="B201" s="1375" t="str">
        <f>VLOOKUP(H200,PRESUPUESTO!$A$18:$F$251,2,FALSE)</f>
        <v xml:space="preserve">Suministro, transporte e instalación de cable 2No8+1No8 AWG-THHN, canalizado con sus accesorios de montaje, y demás elementos necesarios para su correcta instalación.  </v>
      </c>
      <c r="C201" s="1375"/>
      <c r="D201" s="1375"/>
      <c r="E201" s="1375"/>
      <c r="F201" s="1375"/>
      <c r="G201" s="929" t="s">
        <v>9</v>
      </c>
      <c r="H201" s="1024" t="str">
        <f>VLOOKUP(H200,PRESUPUESTO!$A$18:$F$251,3,FALSE)</f>
        <v>ml</v>
      </c>
    </row>
    <row r="202" spans="1:10">
      <c r="A202" s="456"/>
      <c r="B202" s="456"/>
      <c r="C202" s="436"/>
      <c r="D202" s="456"/>
      <c r="E202" s="456"/>
      <c r="F202" s="456"/>
      <c r="G202" s="456"/>
      <c r="H202" s="436"/>
    </row>
    <row r="203" spans="1:10" ht="15.75" thickBot="1">
      <c r="A203" s="450" t="s">
        <v>79</v>
      </c>
      <c r="B203" s="450"/>
      <c r="C203" s="436"/>
      <c r="D203" s="436"/>
      <c r="E203" s="436"/>
      <c r="F203" s="436"/>
      <c r="G203" s="436"/>
      <c r="H203" s="436"/>
    </row>
    <row r="204" spans="1:10">
      <c r="A204" s="1345" t="s">
        <v>80</v>
      </c>
      <c r="B204" s="1346"/>
      <c r="C204" s="1347"/>
      <c r="D204" s="438" t="s">
        <v>81</v>
      </c>
      <c r="E204" s="438" t="s">
        <v>82</v>
      </c>
      <c r="F204" s="438" t="s">
        <v>83</v>
      </c>
      <c r="G204" s="439" t="s">
        <v>84</v>
      </c>
      <c r="H204" s="457"/>
    </row>
    <row r="205" spans="1:10">
      <c r="A205" s="1357" t="s">
        <v>471</v>
      </c>
      <c r="B205" s="1358"/>
      <c r="C205" s="1359"/>
      <c r="D205" s="459" t="s">
        <v>268</v>
      </c>
      <c r="E205" s="440">
        <v>1000</v>
      </c>
      <c r="F205" s="440">
        <v>1</v>
      </c>
      <c r="G205" s="432">
        <f>E205*F205</f>
        <v>1000</v>
      </c>
      <c r="H205" s="460"/>
    </row>
    <row r="206" spans="1:10">
      <c r="A206" s="1357" t="s">
        <v>679</v>
      </c>
      <c r="B206" s="1358"/>
      <c r="C206" s="1359"/>
      <c r="D206" s="461" t="s">
        <v>680</v>
      </c>
      <c r="E206" s="462">
        <f>19992*1.1</f>
        <v>21991.200000000001</v>
      </c>
      <c r="F206" s="497">
        <f>1/+F225</f>
        <v>5.5555555555555552E-2</v>
      </c>
      <c r="G206" s="432">
        <f>E206*F206</f>
        <v>1221.7333333333333</v>
      </c>
      <c r="H206" s="460"/>
    </row>
    <row r="207" spans="1:10" ht="15.75" thickBot="1">
      <c r="A207" s="1342"/>
      <c r="B207" s="1343"/>
      <c r="C207" s="1344"/>
      <c r="D207" s="464"/>
      <c r="E207" s="433"/>
      <c r="F207" s="434"/>
      <c r="G207" s="441">
        <f>E207*F207</f>
        <v>0</v>
      </c>
      <c r="H207" s="465"/>
    </row>
    <row r="208" spans="1:10" ht="15.75" thickBot="1">
      <c r="A208" s="436"/>
      <c r="B208" s="436"/>
      <c r="C208" s="436"/>
      <c r="D208" s="436"/>
      <c r="E208" s="436"/>
      <c r="F208" s="436"/>
      <c r="G208" s="437" t="s">
        <v>86</v>
      </c>
      <c r="H208" s="466">
        <f>SUM(G205:G207)</f>
        <v>2221.7333333333336</v>
      </c>
    </row>
    <row r="209" spans="1:15" ht="15.75" thickBot="1">
      <c r="A209" s="450" t="s">
        <v>87</v>
      </c>
      <c r="B209" s="450"/>
      <c r="C209" s="436"/>
      <c r="D209" s="436"/>
      <c r="E209" s="436"/>
      <c r="F209" s="436"/>
      <c r="G209" s="436"/>
      <c r="H209" s="436"/>
    </row>
    <row r="210" spans="1:15">
      <c r="A210" s="1345" t="s">
        <v>80</v>
      </c>
      <c r="B210" s="1346"/>
      <c r="C210" s="1347"/>
      <c r="D210" s="438" t="s">
        <v>88</v>
      </c>
      <c r="E210" s="438" t="s">
        <v>89</v>
      </c>
      <c r="F210" s="438" t="s">
        <v>90</v>
      </c>
      <c r="G210" s="439" t="s">
        <v>84</v>
      </c>
      <c r="H210" s="457"/>
    </row>
    <row r="211" spans="1:15">
      <c r="A211" s="458" t="s">
        <v>433</v>
      </c>
      <c r="B211" s="467"/>
      <c r="C211" s="468"/>
      <c r="D211" s="459" t="s">
        <v>271</v>
      </c>
      <c r="E211" s="1009">
        <f>7009*1.19</f>
        <v>8340.7099999999991</v>
      </c>
      <c r="F211" s="440">
        <f>3*1.05</f>
        <v>3.1500000000000004</v>
      </c>
      <c r="G211" s="432">
        <f>E211*F211</f>
        <v>26273.236499999999</v>
      </c>
      <c r="H211" s="460"/>
      <c r="I211" s="672" t="s">
        <v>1105</v>
      </c>
    </row>
    <row r="212" spans="1:15">
      <c r="A212" s="469" t="s">
        <v>678</v>
      </c>
      <c r="B212" s="467"/>
      <c r="C212" s="468"/>
      <c r="D212" s="459" t="s">
        <v>173</v>
      </c>
      <c r="E212" s="430">
        <v>2800</v>
      </c>
      <c r="F212" s="440">
        <f>+F211/12</f>
        <v>0.26250000000000001</v>
      </c>
      <c r="G212" s="432">
        <f>E212*F212</f>
        <v>735</v>
      </c>
      <c r="H212" s="460"/>
    </row>
    <row r="213" spans="1:15">
      <c r="A213" s="469"/>
      <c r="B213" s="467"/>
      <c r="C213" s="471"/>
      <c r="D213" s="459"/>
      <c r="F213" s="431"/>
      <c r="G213" s="432">
        <f>SUM(G210:G212)*C213</f>
        <v>0</v>
      </c>
      <c r="H213" s="460"/>
    </row>
    <row r="214" spans="1:15">
      <c r="A214" s="469"/>
      <c r="B214" s="467"/>
      <c r="C214" s="468"/>
      <c r="D214" s="459"/>
      <c r="E214" s="430"/>
      <c r="F214" s="431"/>
      <c r="G214" s="432"/>
      <c r="H214" s="460"/>
    </row>
    <row r="215" spans="1:15">
      <c r="A215" s="469"/>
      <c r="B215" s="467"/>
      <c r="C215" s="468"/>
      <c r="D215" s="459"/>
      <c r="E215" s="430"/>
      <c r="F215" s="431"/>
      <c r="G215" s="432"/>
      <c r="H215" s="460"/>
    </row>
    <row r="216" spans="1:15" ht="15.75" thickBot="1">
      <c r="A216" s="472"/>
      <c r="B216" s="473"/>
      <c r="C216" s="474"/>
      <c r="D216" s="464"/>
      <c r="E216" s="433"/>
      <c r="F216" s="434"/>
      <c r="G216" s="435"/>
      <c r="H216" s="465"/>
    </row>
    <row r="217" spans="1:15" ht="15.75" thickBot="1">
      <c r="A217" s="436"/>
      <c r="B217" s="436"/>
      <c r="C217" s="436"/>
      <c r="D217" s="436"/>
      <c r="E217" s="436"/>
      <c r="F217" s="436"/>
      <c r="G217" s="437" t="s">
        <v>86</v>
      </c>
      <c r="H217" s="466">
        <f>SUM(G211:G216)</f>
        <v>27008.236499999999</v>
      </c>
    </row>
    <row r="218" spans="1:15" ht="15.75" thickBot="1">
      <c r="A218" s="450" t="s">
        <v>94</v>
      </c>
      <c r="B218" s="450"/>
      <c r="C218" s="436"/>
      <c r="D218" s="436"/>
      <c r="E218" s="436"/>
      <c r="F218" s="436"/>
      <c r="G218" s="436"/>
      <c r="H218" s="436"/>
    </row>
    <row r="219" spans="1:15">
      <c r="A219" s="1345" t="s">
        <v>95</v>
      </c>
      <c r="B219" s="1346"/>
      <c r="C219" s="1347"/>
      <c r="D219" s="438" t="s">
        <v>88</v>
      </c>
      <c r="E219" s="438" t="s">
        <v>89</v>
      </c>
      <c r="F219" s="438" t="s">
        <v>90</v>
      </c>
      <c r="G219" s="439" t="s">
        <v>84</v>
      </c>
      <c r="H219" s="457"/>
      <c r="K219" s="1412" t="s">
        <v>1119</v>
      </c>
      <c r="L219" s="1412"/>
      <c r="M219" s="1412"/>
      <c r="N219" s="1412"/>
      <c r="O219" s="1412"/>
    </row>
    <row r="220" spans="1:15">
      <c r="A220" s="458" t="s">
        <v>235</v>
      </c>
      <c r="B220" s="467"/>
      <c r="C220" s="468"/>
      <c r="D220" s="459" t="s">
        <v>271</v>
      </c>
      <c r="E220" s="430">
        <v>2800</v>
      </c>
      <c r="F220" s="440">
        <v>1</v>
      </c>
      <c r="G220" s="432">
        <f>E220*F220</f>
        <v>2800</v>
      </c>
      <c r="H220" s="460"/>
    </row>
    <row r="221" spans="1:15" ht="15.75" thickBot="1">
      <c r="A221" s="1342"/>
      <c r="B221" s="1343"/>
      <c r="C221" s="1344"/>
      <c r="D221" s="475"/>
      <c r="E221" s="433"/>
      <c r="F221" s="434"/>
      <c r="G221" s="441"/>
      <c r="H221" s="460"/>
    </row>
    <row r="222" spans="1:15" ht="15.75" thickBot="1">
      <c r="A222" s="436"/>
      <c r="B222" s="436"/>
      <c r="C222" s="436"/>
      <c r="D222" s="436"/>
      <c r="E222" s="436"/>
      <c r="F222" s="436"/>
      <c r="G222" s="437" t="s">
        <v>86</v>
      </c>
      <c r="H222" s="466">
        <f>SUM(G220:G221)</f>
        <v>2800</v>
      </c>
      <c r="I222" s="677"/>
    </row>
    <row r="223" spans="1:15" ht="15.75" thickBot="1">
      <c r="A223" s="450" t="s">
        <v>96</v>
      </c>
      <c r="B223" s="450"/>
      <c r="C223" s="436"/>
      <c r="D223" s="436"/>
      <c r="E223" s="436"/>
      <c r="F223" s="436"/>
      <c r="G223" s="436"/>
      <c r="H223" s="436"/>
    </row>
    <row r="224" spans="1:15">
      <c r="A224" s="476" t="s">
        <v>97</v>
      </c>
      <c r="B224" s="438"/>
      <c r="C224" s="438" t="s">
        <v>98</v>
      </c>
      <c r="D224" s="438" t="s">
        <v>99</v>
      </c>
      <c r="E224" s="442" t="s">
        <v>100</v>
      </c>
      <c r="F224" s="443" t="s">
        <v>83</v>
      </c>
      <c r="G224" s="444" t="s">
        <v>84</v>
      </c>
      <c r="H224" s="477"/>
    </row>
    <row r="225" spans="1:9">
      <c r="A225" s="478" t="s">
        <v>101</v>
      </c>
      <c r="B225" s="467"/>
      <c r="C225" s="479">
        <f>PERSONAL!$E$32</f>
        <v>87200</v>
      </c>
      <c r="D225" s="480">
        <f>PERSONAL!$F$31</f>
        <v>1.7431000000000001</v>
      </c>
      <c r="E225" s="440">
        <f>+D225*C225</f>
        <v>151998.32</v>
      </c>
      <c r="F225" s="440">
        <v>18</v>
      </c>
      <c r="G225" s="445">
        <f>ROUND(E225/F225,0)</f>
        <v>8444</v>
      </c>
      <c r="H225" s="451"/>
    </row>
    <row r="226" spans="1:9">
      <c r="A226" s="478"/>
      <c r="B226" s="467"/>
      <c r="C226" s="479"/>
      <c r="D226" s="480"/>
      <c r="E226" s="440"/>
      <c r="F226" s="440"/>
      <c r="G226" s="445"/>
      <c r="H226" s="451"/>
    </row>
    <row r="227" spans="1:9">
      <c r="A227" s="478"/>
      <c r="B227" s="468"/>
      <c r="C227" s="430"/>
      <c r="D227" s="459"/>
      <c r="E227" s="430"/>
      <c r="F227" s="440"/>
      <c r="G227" s="445"/>
      <c r="H227" s="451"/>
    </row>
    <row r="228" spans="1:9">
      <c r="A228" s="478"/>
      <c r="B228" s="468"/>
      <c r="C228" s="430"/>
      <c r="D228" s="459"/>
      <c r="E228" s="430"/>
      <c r="F228" s="440"/>
      <c r="G228" s="445"/>
      <c r="H228" s="451"/>
    </row>
    <row r="229" spans="1:9" ht="15.75" thickBot="1">
      <c r="A229" s="481"/>
      <c r="B229" s="474"/>
      <c r="C229" s="474"/>
      <c r="D229" s="474"/>
      <c r="E229" s="474"/>
      <c r="F229" s="474"/>
      <c r="G229" s="482"/>
      <c r="H229" s="482"/>
    </row>
    <row r="230" spans="1:9" ht="15.75" thickBot="1">
      <c r="A230" s="436"/>
      <c r="B230" s="436"/>
      <c r="C230" s="436"/>
      <c r="D230" s="436"/>
      <c r="E230" s="436"/>
      <c r="F230" s="436"/>
      <c r="G230" s="437" t="s">
        <v>86</v>
      </c>
      <c r="H230" s="466">
        <f>SUM(G225:G229)</f>
        <v>8444</v>
      </c>
      <c r="I230" s="676"/>
    </row>
    <row r="231" spans="1:9" ht="15.75" thickBot="1">
      <c r="A231" s="436"/>
      <c r="B231" s="436"/>
      <c r="C231" s="436"/>
      <c r="D231" s="436"/>
      <c r="E231" s="436"/>
      <c r="F231" s="436"/>
      <c r="G231" s="483"/>
      <c r="H231" s="436"/>
    </row>
    <row r="232" spans="1:9" ht="15.75" thickBot="1">
      <c r="A232" s="436"/>
      <c r="B232" s="436"/>
      <c r="C232" s="436"/>
      <c r="D232" s="436"/>
      <c r="E232" s="484" t="s">
        <v>102</v>
      </c>
      <c r="F232" s="485"/>
      <c r="G232" s="485"/>
      <c r="H232" s="466">
        <f>H208+H217+H222+H230</f>
        <v>40473.969833333336</v>
      </c>
    </row>
    <row r="233" spans="1:9" ht="15.75" thickBot="1">
      <c r="A233" s="450" t="s">
        <v>103</v>
      </c>
      <c r="B233" s="450"/>
      <c r="C233" s="436"/>
      <c r="D233" s="436"/>
      <c r="E233" s="436"/>
      <c r="F233" s="436"/>
      <c r="G233" s="436"/>
      <c r="H233" s="436"/>
    </row>
    <row r="234" spans="1:9">
      <c r="A234" s="487" t="s">
        <v>80</v>
      </c>
      <c r="B234" s="488"/>
      <c r="C234" s="488"/>
      <c r="D234" s="488"/>
      <c r="E234" s="489"/>
      <c r="F234" s="490" t="s">
        <v>104</v>
      </c>
      <c r="G234" s="491" t="s">
        <v>105</v>
      </c>
      <c r="H234" s="457"/>
    </row>
    <row r="235" spans="1:9">
      <c r="A235" s="469" t="s">
        <v>106</v>
      </c>
      <c r="B235" s="467"/>
      <c r="C235" s="467"/>
      <c r="D235" s="467"/>
      <c r="E235" s="468"/>
      <c r="F235" s="492">
        <f>PRESUPUESTO!$E$222</f>
        <v>0.109</v>
      </c>
      <c r="G235" s="493">
        <f>+F235*H232</f>
        <v>4411.6627118333336</v>
      </c>
      <c r="H235" s="460"/>
    </row>
    <row r="236" spans="1:9">
      <c r="A236" s="469" t="s">
        <v>107</v>
      </c>
      <c r="B236" s="467"/>
      <c r="C236" s="467"/>
      <c r="D236" s="467"/>
      <c r="E236" s="468"/>
      <c r="F236" s="492">
        <f>PRESUPUESTO!$E$223</f>
        <v>0.05</v>
      </c>
      <c r="G236" s="493">
        <f>+F236*H232</f>
        <v>2023.698491666667</v>
      </c>
      <c r="H236" s="460"/>
    </row>
    <row r="237" spans="1:9" ht="15.75" thickBot="1">
      <c r="A237" s="472" t="s">
        <v>108</v>
      </c>
      <c r="B237" s="473"/>
      <c r="C237" s="473"/>
      <c r="D237" s="473"/>
      <c r="E237" s="474"/>
      <c r="F237" s="494">
        <v>0</v>
      </c>
      <c r="G237" s="495">
        <f>+F237*H232</f>
        <v>0</v>
      </c>
      <c r="H237" s="465"/>
    </row>
    <row r="238" spans="1:9" ht="15.75" thickBot="1">
      <c r="A238" s="436"/>
      <c r="B238" s="436"/>
      <c r="C238" s="436"/>
      <c r="D238" s="436"/>
      <c r="E238" s="436"/>
      <c r="F238" s="436"/>
      <c r="G238" s="437" t="s">
        <v>86</v>
      </c>
      <c r="H238" s="496">
        <f>SUM(G235:G237)</f>
        <v>6435.3612035000006</v>
      </c>
    </row>
    <row r="239" spans="1:9" ht="15.75" thickBot="1">
      <c r="A239" s="436"/>
      <c r="B239" s="436"/>
      <c r="C239" s="436"/>
      <c r="D239" s="436"/>
      <c r="E239" s="436"/>
      <c r="F239" s="436"/>
      <c r="G239" s="436"/>
      <c r="H239" s="436"/>
    </row>
    <row r="240" spans="1:9" ht="15.75" thickBot="1">
      <c r="A240" s="446"/>
      <c r="B240" s="446"/>
      <c r="C240" s="436"/>
      <c r="D240" s="484" t="s">
        <v>109</v>
      </c>
      <c r="E240" s="485"/>
      <c r="F240" s="485"/>
      <c r="G240" s="485"/>
      <c r="H240" s="466">
        <f>ROUND((H232+H238),0)</f>
        <v>46909</v>
      </c>
    </row>
    <row r="241" spans="1:10">
      <c r="A241" s="446"/>
      <c r="B241" s="446"/>
      <c r="C241" s="446"/>
      <c r="D241" s="446"/>
      <c r="E241" s="446"/>
      <c r="F241" s="446"/>
      <c r="G241" s="446"/>
      <c r="H241" s="446"/>
    </row>
    <row r="242" spans="1:10">
      <c r="A242" s="186" t="s">
        <v>77</v>
      </c>
      <c r="B242" s="446"/>
      <c r="C242" s="446"/>
      <c r="D242" s="446"/>
      <c r="E242" s="446"/>
      <c r="F242" s="446"/>
      <c r="G242" s="446"/>
      <c r="H242" s="446"/>
    </row>
    <row r="243" spans="1:10" ht="15.75" thickBot="1">
      <c r="A243" s="446"/>
      <c r="B243" s="446"/>
      <c r="C243" s="446"/>
      <c r="D243" s="446"/>
      <c r="E243" s="446"/>
      <c r="F243" s="446"/>
      <c r="G243" s="446"/>
      <c r="H243" s="446"/>
    </row>
    <row r="244" spans="1:10">
      <c r="A244" s="1348" t="s">
        <v>213</v>
      </c>
      <c r="B244" s="1349"/>
      <c r="C244" s="1350"/>
      <c r="D244" s="448"/>
      <c r="E244" s="448"/>
      <c r="F244" s="448"/>
      <c r="G244" s="448"/>
      <c r="H244" s="449"/>
    </row>
    <row r="245" spans="1:10">
      <c r="A245" s="1351"/>
      <c r="B245" s="1352"/>
      <c r="C245" s="1353"/>
      <c r="D245" s="436"/>
      <c r="E245" s="450" t="s">
        <v>78</v>
      </c>
      <c r="F245" s="436"/>
      <c r="G245" s="436"/>
      <c r="H245" s="451"/>
    </row>
    <row r="246" spans="1:10" ht="15.75" thickBot="1">
      <c r="A246" s="1354"/>
      <c r="B246" s="1355"/>
      <c r="C246" s="1356"/>
      <c r="D246" s="1360"/>
      <c r="E246" s="1361"/>
      <c r="F246" s="1361"/>
      <c r="G246" s="1361"/>
      <c r="H246" s="1362"/>
    </row>
    <row r="247" spans="1:10">
      <c r="A247" s="455"/>
      <c r="B247" s="436"/>
      <c r="C247" s="436"/>
      <c r="D247" s="436"/>
      <c r="E247" s="436"/>
      <c r="F247" s="436"/>
      <c r="G247" s="436"/>
      <c r="H247" s="436"/>
    </row>
    <row r="248" spans="1:10" s="446" customFormat="1" ht="12.75">
      <c r="A248" s="455" t="s">
        <v>1146</v>
      </c>
      <c r="B248" s="456" t="str">
        <f>+PRESUPUESTO!$B$70</f>
        <v>INSTALACIONES ELÉCTRICAS</v>
      </c>
      <c r="C248" s="436"/>
      <c r="E248" s="456"/>
      <c r="G248" s="456" t="s">
        <v>1123</v>
      </c>
      <c r="H248" s="483" t="s">
        <v>1169</v>
      </c>
      <c r="I248" s="436"/>
      <c r="J248" s="436"/>
    </row>
    <row r="249" spans="1:10" s="931" customFormat="1" ht="52.15" customHeight="1">
      <c r="A249" s="928" t="s">
        <v>1122</v>
      </c>
      <c r="B249" s="1375" t="str">
        <f>VLOOKUP(H248,PRESUPUESTO!$A$18:$F$251,2,FALSE)</f>
        <v xml:space="preserve">Suministro, transporte e instalación de tubería tipo PVC de 2" de diámetro, canalizada, con sus accesorios de montaje, y demás elementos necesarios para su correcta instalación.  </v>
      </c>
      <c r="C249" s="1375"/>
      <c r="D249" s="1375"/>
      <c r="E249" s="1375"/>
      <c r="F249" s="1375"/>
      <c r="G249" s="929" t="s">
        <v>9</v>
      </c>
      <c r="H249" s="1024" t="str">
        <f>VLOOKUP(H248,PRESUPUESTO!$A$18:$F$251,3,FALSE)</f>
        <v>ml</v>
      </c>
    </row>
    <row r="250" spans="1:10">
      <c r="A250" s="456"/>
      <c r="B250" s="456"/>
      <c r="C250" s="436"/>
      <c r="D250" s="456"/>
      <c r="E250" s="456"/>
      <c r="F250" s="456"/>
      <c r="G250" s="456"/>
      <c r="H250" s="436"/>
    </row>
    <row r="251" spans="1:10" ht="15.75" thickBot="1">
      <c r="A251" s="450" t="s">
        <v>79</v>
      </c>
      <c r="B251" s="450"/>
      <c r="C251" s="436"/>
      <c r="D251" s="436"/>
      <c r="E251" s="436"/>
      <c r="F251" s="436"/>
      <c r="G251" s="436"/>
      <c r="H251" s="436"/>
    </row>
    <row r="252" spans="1:10">
      <c r="A252" s="1345" t="s">
        <v>80</v>
      </c>
      <c r="B252" s="1346"/>
      <c r="C252" s="1347"/>
      <c r="D252" s="438" t="s">
        <v>81</v>
      </c>
      <c r="E252" s="438" t="s">
        <v>82</v>
      </c>
      <c r="F252" s="438" t="s">
        <v>83</v>
      </c>
      <c r="G252" s="439" t="s">
        <v>84</v>
      </c>
      <c r="H252" s="457"/>
    </row>
    <row r="253" spans="1:10">
      <c r="A253" s="1357" t="s">
        <v>471</v>
      </c>
      <c r="B253" s="1358"/>
      <c r="C253" s="1359"/>
      <c r="D253" s="459" t="s">
        <v>268</v>
      </c>
      <c r="E253" s="440">
        <v>1000</v>
      </c>
      <c r="F253" s="440">
        <v>1</v>
      </c>
      <c r="G253" s="432">
        <f>E253*F253</f>
        <v>1000</v>
      </c>
      <c r="H253" s="460"/>
    </row>
    <row r="254" spans="1:10">
      <c r="A254" s="1357"/>
      <c r="B254" s="1358"/>
      <c r="C254" s="1359"/>
      <c r="D254" s="461"/>
      <c r="E254" s="462"/>
      <c r="F254" s="497"/>
      <c r="G254" s="432">
        <f>E254*F254</f>
        <v>0</v>
      </c>
      <c r="H254" s="460"/>
    </row>
    <row r="255" spans="1:10" ht="15.75" thickBot="1">
      <c r="A255" s="1342"/>
      <c r="B255" s="1343"/>
      <c r="C255" s="1344"/>
      <c r="D255" s="464"/>
      <c r="E255" s="433"/>
      <c r="F255" s="434"/>
      <c r="G255" s="441">
        <f>E255*F255</f>
        <v>0</v>
      </c>
      <c r="H255" s="465"/>
    </row>
    <row r="256" spans="1:10" ht="15.75" thickBot="1">
      <c r="A256" s="436"/>
      <c r="B256" s="436"/>
      <c r="C256" s="436"/>
      <c r="D256" s="436"/>
      <c r="E256" s="436"/>
      <c r="F256" s="436"/>
      <c r="G256" s="437" t="s">
        <v>86</v>
      </c>
      <c r="H256" s="466">
        <f>SUM(G253:G255)</f>
        <v>1000</v>
      </c>
    </row>
    <row r="257" spans="1:8" ht="15.75" thickBot="1">
      <c r="A257" s="450" t="s">
        <v>87</v>
      </c>
      <c r="B257" s="450"/>
      <c r="C257" s="436"/>
      <c r="D257" s="436"/>
      <c r="E257" s="436"/>
      <c r="F257" s="436"/>
      <c r="G257" s="436"/>
      <c r="H257" s="436"/>
    </row>
    <row r="258" spans="1:8">
      <c r="A258" s="1345" t="s">
        <v>80</v>
      </c>
      <c r="B258" s="1346"/>
      <c r="C258" s="1347"/>
      <c r="D258" s="438" t="s">
        <v>88</v>
      </c>
      <c r="E258" s="438" t="s">
        <v>89</v>
      </c>
      <c r="F258" s="438" t="s">
        <v>90</v>
      </c>
      <c r="G258" s="439" t="s">
        <v>84</v>
      </c>
      <c r="H258" s="457"/>
    </row>
    <row r="259" spans="1:8">
      <c r="A259" s="458" t="s">
        <v>434</v>
      </c>
      <c r="B259" s="467"/>
      <c r="C259" s="468"/>
      <c r="D259" s="459" t="s">
        <v>268</v>
      </c>
      <c r="E259" s="674">
        <f>19141*1.19</f>
        <v>22777.789999999997</v>
      </c>
      <c r="F259" s="440">
        <v>0.2</v>
      </c>
      <c r="G259" s="432">
        <f>E259*F259</f>
        <v>4555.558</v>
      </c>
      <c r="H259" s="460"/>
    </row>
    <row r="260" spans="1:8">
      <c r="A260" s="469" t="s">
        <v>435</v>
      </c>
      <c r="B260" s="467"/>
      <c r="C260" s="468"/>
      <c r="D260" s="459" t="s">
        <v>271</v>
      </c>
      <c r="E260" s="430">
        <f>41103/3</f>
        <v>13701</v>
      </c>
      <c r="F260" s="440">
        <v>1.05</v>
      </c>
      <c r="G260" s="432">
        <f>E260*F260</f>
        <v>14386.050000000001</v>
      </c>
      <c r="H260" s="460"/>
    </row>
    <row r="261" spans="1:8">
      <c r="A261" s="469" t="s">
        <v>436</v>
      </c>
      <c r="B261" s="467"/>
      <c r="C261" s="471"/>
      <c r="D261" s="459" t="s">
        <v>268</v>
      </c>
      <c r="E261" s="430">
        <v>5730</v>
      </c>
      <c r="F261" s="431">
        <v>0.2</v>
      </c>
      <c r="G261" s="432">
        <f>E261*F261</f>
        <v>1146</v>
      </c>
      <c r="H261" s="460"/>
    </row>
    <row r="262" spans="1:8">
      <c r="A262" s="469"/>
      <c r="B262" s="467"/>
      <c r="C262" s="468"/>
      <c r="D262" s="459"/>
      <c r="E262" s="430"/>
      <c r="F262" s="431"/>
      <c r="G262" s="432"/>
      <c r="H262" s="460"/>
    </row>
    <row r="263" spans="1:8">
      <c r="A263" s="469"/>
      <c r="B263" s="467"/>
      <c r="C263" s="468"/>
      <c r="D263" s="459"/>
      <c r="E263" s="430"/>
      <c r="F263" s="431"/>
      <c r="G263" s="432"/>
      <c r="H263" s="460"/>
    </row>
    <row r="264" spans="1:8" ht="15.75" thickBot="1">
      <c r="A264" s="472"/>
      <c r="B264" s="473"/>
      <c r="C264" s="474"/>
      <c r="D264" s="464"/>
      <c r="E264" s="433"/>
      <c r="F264" s="434"/>
      <c r="G264" s="435"/>
      <c r="H264" s="465"/>
    </row>
    <row r="265" spans="1:8" ht="15.75" thickBot="1">
      <c r="A265" s="436"/>
      <c r="B265" s="436"/>
      <c r="C265" s="436"/>
      <c r="D265" s="436"/>
      <c r="E265" s="436"/>
      <c r="F265" s="436"/>
      <c r="G265" s="437" t="s">
        <v>86</v>
      </c>
      <c r="H265" s="466">
        <f>SUM(G259:G264)</f>
        <v>20087.608</v>
      </c>
    </row>
    <row r="266" spans="1:8" ht="15.75" thickBot="1">
      <c r="A266" s="450" t="s">
        <v>94</v>
      </c>
      <c r="B266" s="450"/>
      <c r="C266" s="436"/>
      <c r="D266" s="436"/>
      <c r="E266" s="436"/>
      <c r="F266" s="436"/>
      <c r="G266" s="436"/>
      <c r="H266" s="436"/>
    </row>
    <row r="267" spans="1:8">
      <c r="A267" s="1345" t="s">
        <v>95</v>
      </c>
      <c r="B267" s="1346"/>
      <c r="C267" s="1347"/>
      <c r="D267" s="438" t="s">
        <v>88</v>
      </c>
      <c r="E267" s="438" t="s">
        <v>89</v>
      </c>
      <c r="F267" s="438" t="s">
        <v>90</v>
      </c>
      <c r="G267" s="439" t="s">
        <v>84</v>
      </c>
      <c r="H267" s="457"/>
    </row>
    <row r="268" spans="1:8">
      <c r="A268" s="458" t="s">
        <v>235</v>
      </c>
      <c r="B268" s="467"/>
      <c r="C268" s="468"/>
      <c r="D268" s="459" t="s">
        <v>271</v>
      </c>
      <c r="E268" s="430">
        <v>2500</v>
      </c>
      <c r="F268" s="440">
        <v>1</v>
      </c>
      <c r="G268" s="432">
        <f>E268*F268</f>
        <v>2500</v>
      </c>
      <c r="H268" s="460"/>
    </row>
    <row r="269" spans="1:8" ht="15.75" thickBot="1">
      <c r="A269" s="1342"/>
      <c r="B269" s="1343"/>
      <c r="C269" s="1344"/>
      <c r="D269" s="475"/>
      <c r="E269" s="433"/>
      <c r="F269" s="434"/>
      <c r="G269" s="441"/>
      <c r="H269" s="460"/>
    </row>
    <row r="270" spans="1:8" ht="15.75" thickBot="1">
      <c r="A270" s="436"/>
      <c r="B270" s="436"/>
      <c r="C270" s="436"/>
      <c r="D270" s="436"/>
      <c r="E270" s="436"/>
      <c r="F270" s="436"/>
      <c r="G270" s="437" t="s">
        <v>86</v>
      </c>
      <c r="H270" s="466">
        <f>SUM(G268:G269)</f>
        <v>2500</v>
      </c>
    </row>
    <row r="271" spans="1:8" ht="15.75" thickBot="1">
      <c r="A271" s="450" t="s">
        <v>96</v>
      </c>
      <c r="B271" s="450"/>
      <c r="C271" s="436"/>
      <c r="D271" s="436"/>
      <c r="E271" s="436"/>
      <c r="F271" s="436"/>
      <c r="G271" s="436"/>
      <c r="H271" s="436"/>
    </row>
    <row r="272" spans="1:8">
      <c r="A272" s="476" t="s">
        <v>97</v>
      </c>
      <c r="B272" s="438"/>
      <c r="C272" s="438" t="s">
        <v>98</v>
      </c>
      <c r="D272" s="438" t="s">
        <v>99</v>
      </c>
      <c r="E272" s="442" t="s">
        <v>100</v>
      </c>
      <c r="F272" s="443" t="s">
        <v>83</v>
      </c>
      <c r="G272" s="444" t="s">
        <v>84</v>
      </c>
      <c r="H272" s="477"/>
    </row>
    <row r="273" spans="1:8">
      <c r="A273" s="478" t="s">
        <v>101</v>
      </c>
      <c r="B273" s="467"/>
      <c r="C273" s="479">
        <f>PERSONAL!$E$32</f>
        <v>87200</v>
      </c>
      <c r="D273" s="480">
        <f>PERSONAL!$F$31</f>
        <v>1.7431000000000001</v>
      </c>
      <c r="E273" s="440">
        <f>+D273*C273</f>
        <v>151998.32</v>
      </c>
      <c r="F273" s="440">
        <v>18</v>
      </c>
      <c r="G273" s="445">
        <f>ROUND(E273/F273,0)</f>
        <v>8444</v>
      </c>
      <c r="H273" s="451"/>
    </row>
    <row r="274" spans="1:8">
      <c r="A274" s="478"/>
      <c r="B274" s="467"/>
      <c r="C274" s="479"/>
      <c r="D274" s="480"/>
      <c r="E274" s="440"/>
      <c r="F274" s="440"/>
      <c r="G274" s="445"/>
      <c r="H274" s="451"/>
    </row>
    <row r="275" spans="1:8">
      <c r="A275" s="478"/>
      <c r="B275" s="468"/>
      <c r="C275" s="430"/>
      <c r="D275" s="459"/>
      <c r="E275" s="430"/>
      <c r="F275" s="440"/>
      <c r="G275" s="445"/>
      <c r="H275" s="451"/>
    </row>
    <row r="276" spans="1:8">
      <c r="A276" s="478"/>
      <c r="B276" s="468"/>
      <c r="C276" s="430"/>
      <c r="D276" s="459"/>
      <c r="E276" s="430"/>
      <c r="F276" s="440"/>
      <c r="G276" s="445"/>
      <c r="H276" s="451"/>
    </row>
    <row r="277" spans="1:8" ht="15.75" thickBot="1">
      <c r="A277" s="481"/>
      <c r="B277" s="474"/>
      <c r="C277" s="474"/>
      <c r="D277" s="474"/>
      <c r="E277" s="474"/>
      <c r="F277" s="474"/>
      <c r="G277" s="482"/>
      <c r="H277" s="482"/>
    </row>
    <row r="278" spans="1:8" ht="15.75" thickBot="1">
      <c r="A278" s="436"/>
      <c r="B278" s="436"/>
      <c r="C278" s="436"/>
      <c r="D278" s="436"/>
      <c r="E278" s="436"/>
      <c r="F278" s="436"/>
      <c r="G278" s="437" t="s">
        <v>86</v>
      </c>
      <c r="H278" s="466">
        <f>SUM(G273:G277)</f>
        <v>8444</v>
      </c>
    </row>
    <row r="279" spans="1:8" ht="15.75" thickBot="1">
      <c r="A279" s="436"/>
      <c r="B279" s="436"/>
      <c r="C279" s="436"/>
      <c r="D279" s="436"/>
      <c r="E279" s="436"/>
      <c r="F279" s="436"/>
      <c r="G279" s="483"/>
      <c r="H279" s="436"/>
    </row>
    <row r="280" spans="1:8" ht="15.75" thickBot="1">
      <c r="A280" s="436"/>
      <c r="B280" s="436"/>
      <c r="C280" s="436"/>
      <c r="D280" s="436"/>
      <c r="E280" s="484" t="s">
        <v>102</v>
      </c>
      <c r="F280" s="485"/>
      <c r="G280" s="485"/>
      <c r="H280" s="466">
        <f>H256+H265+H270+H278</f>
        <v>32031.608</v>
      </c>
    </row>
    <row r="281" spans="1:8" ht="15.75" thickBot="1">
      <c r="A281" s="450" t="s">
        <v>103</v>
      </c>
      <c r="B281" s="450"/>
      <c r="C281" s="436"/>
      <c r="D281" s="436"/>
      <c r="E281" s="436"/>
      <c r="F281" s="436"/>
      <c r="G281" s="436"/>
      <c r="H281" s="436"/>
    </row>
    <row r="282" spans="1:8">
      <c r="A282" s="487" t="s">
        <v>80</v>
      </c>
      <c r="B282" s="488"/>
      <c r="C282" s="488"/>
      <c r="D282" s="488"/>
      <c r="E282" s="489"/>
      <c r="F282" s="490" t="s">
        <v>104</v>
      </c>
      <c r="G282" s="491" t="s">
        <v>105</v>
      </c>
      <c r="H282" s="457"/>
    </row>
    <row r="283" spans="1:8">
      <c r="A283" s="469" t="s">
        <v>106</v>
      </c>
      <c r="B283" s="467"/>
      <c r="C283" s="467"/>
      <c r="D283" s="467"/>
      <c r="E283" s="468"/>
      <c r="F283" s="492">
        <f>PRESUPUESTO!$E$222</f>
        <v>0.109</v>
      </c>
      <c r="G283" s="493">
        <f>+F283*H280</f>
        <v>3491.4452719999999</v>
      </c>
      <c r="H283" s="460"/>
    </row>
    <row r="284" spans="1:8">
      <c r="A284" s="469" t="s">
        <v>107</v>
      </c>
      <c r="B284" s="467"/>
      <c r="C284" s="467"/>
      <c r="D284" s="467"/>
      <c r="E284" s="468"/>
      <c r="F284" s="492">
        <f>PRESUPUESTO!$E$223</f>
        <v>0.05</v>
      </c>
      <c r="G284" s="493">
        <f>+F284*H280</f>
        <v>1601.5804000000001</v>
      </c>
      <c r="H284" s="460"/>
    </row>
    <row r="285" spans="1:8" ht="15.75" thickBot="1">
      <c r="A285" s="472" t="s">
        <v>108</v>
      </c>
      <c r="B285" s="473"/>
      <c r="C285" s="473"/>
      <c r="D285" s="473"/>
      <c r="E285" s="474"/>
      <c r="F285" s="494">
        <v>0</v>
      </c>
      <c r="G285" s="495">
        <f>+F285*H280</f>
        <v>0</v>
      </c>
      <c r="H285" s="465"/>
    </row>
    <row r="286" spans="1:8" ht="15.75" thickBot="1">
      <c r="A286" s="436"/>
      <c r="B286" s="436"/>
      <c r="C286" s="436"/>
      <c r="D286" s="436"/>
      <c r="E286" s="436"/>
      <c r="F286" s="436"/>
      <c r="G286" s="437" t="s">
        <v>86</v>
      </c>
      <c r="H286" s="496">
        <f>SUM(G283:G285)</f>
        <v>5093.0256719999998</v>
      </c>
    </row>
    <row r="287" spans="1:8" ht="15.75" thickBot="1">
      <c r="A287" s="436"/>
      <c r="B287" s="436"/>
      <c r="C287" s="436"/>
      <c r="D287" s="436"/>
      <c r="E287" s="436"/>
      <c r="F287" s="436"/>
      <c r="G287" s="436"/>
      <c r="H287" s="436"/>
    </row>
    <row r="288" spans="1:8" ht="15.75" thickBot="1">
      <c r="A288" s="446"/>
      <c r="B288" s="446"/>
      <c r="C288" s="436"/>
      <c r="D288" s="484" t="s">
        <v>109</v>
      </c>
      <c r="E288" s="485"/>
      <c r="F288" s="485"/>
      <c r="G288" s="485"/>
      <c r="H288" s="466">
        <f>ROUND((H280+H286),0)</f>
        <v>37125</v>
      </c>
    </row>
    <row r="290" spans="1:10">
      <c r="A290" s="186" t="s">
        <v>77</v>
      </c>
      <c r="B290" s="446"/>
      <c r="C290" s="446"/>
      <c r="D290" s="446"/>
      <c r="E290" s="446"/>
      <c r="F290" s="446"/>
      <c r="G290" s="446"/>
      <c r="H290" s="446"/>
    </row>
    <row r="291" spans="1:10" ht="15.75" thickBot="1">
      <c r="A291" s="446"/>
      <c r="B291" s="446"/>
      <c r="C291" s="446"/>
      <c r="D291" s="446"/>
      <c r="E291" s="446"/>
      <c r="F291" s="446"/>
      <c r="G291" s="446"/>
      <c r="H291" s="446"/>
    </row>
    <row r="292" spans="1:10">
      <c r="A292" s="1348" t="s">
        <v>213</v>
      </c>
      <c r="B292" s="1349"/>
      <c r="C292" s="1350"/>
      <c r="D292" s="448"/>
      <c r="E292" s="448"/>
      <c r="F292" s="448"/>
      <c r="G292" s="448"/>
      <c r="H292" s="449"/>
    </row>
    <row r="293" spans="1:10">
      <c r="A293" s="1351"/>
      <c r="B293" s="1352"/>
      <c r="C293" s="1353"/>
      <c r="D293" s="436"/>
      <c r="E293" s="450" t="s">
        <v>78</v>
      </c>
      <c r="F293" s="436"/>
      <c r="G293" s="436"/>
      <c r="H293" s="451"/>
    </row>
    <row r="294" spans="1:10" ht="15.75" thickBot="1">
      <c r="A294" s="1354"/>
      <c r="B294" s="1355"/>
      <c r="C294" s="1356"/>
      <c r="D294" s="1360"/>
      <c r="E294" s="1361"/>
      <c r="F294" s="1361"/>
      <c r="G294" s="1361"/>
      <c r="H294" s="1362"/>
    </row>
    <row r="295" spans="1:10">
      <c r="A295" s="455"/>
      <c r="B295" s="436"/>
      <c r="C295" s="436"/>
      <c r="D295" s="436"/>
      <c r="E295" s="436"/>
      <c r="F295" s="436"/>
      <c r="G295" s="436"/>
      <c r="H295" s="436"/>
    </row>
    <row r="296" spans="1:10" s="446" customFormat="1" ht="12.75">
      <c r="A296" s="455" t="s">
        <v>1146</v>
      </c>
      <c r="B296" s="456" t="str">
        <f>+PRESUPUESTO!$B$70</f>
        <v>INSTALACIONES ELÉCTRICAS</v>
      </c>
      <c r="C296" s="436"/>
      <c r="E296" s="456"/>
      <c r="G296" s="456" t="s">
        <v>1123</v>
      </c>
      <c r="H296" s="483" t="s">
        <v>1170</v>
      </c>
      <c r="I296" s="436"/>
      <c r="J296" s="436"/>
    </row>
    <row r="297" spans="1:10" s="931" customFormat="1" ht="52.15" customHeight="1">
      <c r="A297" s="928" t="s">
        <v>1122</v>
      </c>
      <c r="B297" s="1375" t="str">
        <f>VLOOKUP(H296,PRESUPUESTO!$A$18:$F$251,2,FALSE)</f>
        <v>Construcción de Caja RS3-001 Norma EPM, Incluye Herraje y Obra Civil.</v>
      </c>
      <c r="C297" s="1375"/>
      <c r="D297" s="1375"/>
      <c r="E297" s="1375"/>
      <c r="F297" s="1375"/>
      <c r="G297" s="929" t="s">
        <v>9</v>
      </c>
      <c r="H297" s="1024" t="str">
        <f>VLOOKUP(H296,PRESUPUESTO!$A$18:$F$251,3,FALSE)</f>
        <v>un</v>
      </c>
    </row>
    <row r="298" spans="1:10">
      <c r="A298" s="456"/>
      <c r="B298" s="456"/>
      <c r="C298" s="436"/>
      <c r="D298" s="456"/>
      <c r="E298" s="456"/>
      <c r="F298" s="456"/>
      <c r="G298" s="456"/>
      <c r="H298" s="436"/>
    </row>
    <row r="299" spans="1:10" ht="15.75" thickBot="1">
      <c r="A299" s="450" t="s">
        <v>79</v>
      </c>
      <c r="B299" s="450"/>
      <c r="C299" s="436"/>
      <c r="D299" s="436"/>
      <c r="E299" s="436"/>
      <c r="F299" s="436"/>
      <c r="G299" s="436"/>
      <c r="H299" s="436"/>
    </row>
    <row r="300" spans="1:10">
      <c r="A300" s="1345" t="s">
        <v>80</v>
      </c>
      <c r="B300" s="1346"/>
      <c r="C300" s="1347"/>
      <c r="D300" s="438" t="s">
        <v>81</v>
      </c>
      <c r="E300" s="438" t="s">
        <v>82</v>
      </c>
      <c r="F300" s="438" t="s">
        <v>83</v>
      </c>
      <c r="G300" s="439" t="s">
        <v>84</v>
      </c>
      <c r="H300" s="457"/>
    </row>
    <row r="301" spans="1:10">
      <c r="A301" s="1357" t="s">
        <v>471</v>
      </c>
      <c r="B301" s="1358"/>
      <c r="C301" s="1359"/>
      <c r="D301" s="459" t="s">
        <v>268</v>
      </c>
      <c r="E301" s="440">
        <f>+H326</f>
        <v>163490</v>
      </c>
      <c r="F301" s="440">
        <v>0.05</v>
      </c>
      <c r="G301" s="432">
        <f>E301*F301</f>
        <v>8174.5</v>
      </c>
      <c r="H301" s="460"/>
    </row>
    <row r="302" spans="1:10">
      <c r="A302" s="1357"/>
      <c r="B302" s="1358"/>
      <c r="C302" s="1359"/>
      <c r="D302" s="461"/>
      <c r="E302" s="462"/>
      <c r="F302" s="497"/>
      <c r="G302" s="432">
        <f>E302*F302</f>
        <v>0</v>
      </c>
      <c r="H302" s="460"/>
    </row>
    <row r="303" spans="1:10" ht="15.75" thickBot="1">
      <c r="A303" s="1342"/>
      <c r="B303" s="1343"/>
      <c r="C303" s="1344"/>
      <c r="D303" s="464"/>
      <c r="E303" s="433"/>
      <c r="F303" s="434"/>
      <c r="G303" s="441">
        <f>E303*F303</f>
        <v>0</v>
      </c>
      <c r="H303" s="465"/>
    </row>
    <row r="304" spans="1:10" ht="15.75" thickBot="1">
      <c r="A304" s="436"/>
      <c r="B304" s="436"/>
      <c r="C304" s="436"/>
      <c r="D304" s="436"/>
      <c r="E304" s="436"/>
      <c r="F304" s="436"/>
      <c r="G304" s="437" t="s">
        <v>86</v>
      </c>
      <c r="H304" s="466">
        <f>SUM(G301:G303)</f>
        <v>8174.5</v>
      </c>
    </row>
    <row r="305" spans="1:8" ht="15.75" thickBot="1">
      <c r="A305" s="450" t="s">
        <v>87</v>
      </c>
      <c r="B305" s="450"/>
      <c r="C305" s="436"/>
      <c r="D305" s="436"/>
      <c r="E305" s="436"/>
      <c r="F305" s="436"/>
      <c r="G305" s="436"/>
      <c r="H305" s="436"/>
    </row>
    <row r="306" spans="1:8">
      <c r="A306" s="1345" t="s">
        <v>80</v>
      </c>
      <c r="B306" s="1346"/>
      <c r="C306" s="1347"/>
      <c r="D306" s="438" t="s">
        <v>88</v>
      </c>
      <c r="E306" s="438" t="s">
        <v>89</v>
      </c>
      <c r="F306" s="438" t="s">
        <v>90</v>
      </c>
      <c r="G306" s="439" t="s">
        <v>84</v>
      </c>
      <c r="H306" s="457"/>
    </row>
    <row r="307" spans="1:8">
      <c r="A307" s="458" t="s">
        <v>437</v>
      </c>
      <c r="B307" s="467"/>
      <c r="C307" s="468"/>
      <c r="D307" s="459" t="s">
        <v>268</v>
      </c>
      <c r="E307" s="430">
        <f>387925*1.19</f>
        <v>461630.75</v>
      </c>
      <c r="F307" s="440">
        <v>1</v>
      </c>
      <c r="G307" s="432">
        <f>E307*F307</f>
        <v>461630.75</v>
      </c>
      <c r="H307" s="460"/>
    </row>
    <row r="308" spans="1:8">
      <c r="A308" s="469" t="s">
        <v>438</v>
      </c>
      <c r="B308" s="467"/>
      <c r="C308" s="468"/>
      <c r="D308" s="459" t="s">
        <v>268</v>
      </c>
      <c r="E308" s="470">
        <v>320917</v>
      </c>
      <c r="F308" s="440">
        <v>1</v>
      </c>
      <c r="G308" s="432">
        <f>F308*E308</f>
        <v>320917</v>
      </c>
      <c r="H308" s="460"/>
    </row>
    <row r="309" spans="1:8">
      <c r="A309" s="469"/>
      <c r="B309" s="467"/>
      <c r="C309" s="471"/>
      <c r="D309" s="459"/>
      <c r="F309" s="431"/>
      <c r="G309" s="432">
        <f>SUM(G306:G308)*C309</f>
        <v>0</v>
      </c>
      <c r="H309" s="460"/>
    </row>
    <row r="310" spans="1:8">
      <c r="A310" s="469"/>
      <c r="B310" s="467"/>
      <c r="C310" s="468"/>
      <c r="D310" s="459"/>
      <c r="E310" s="430"/>
      <c r="F310" s="431"/>
      <c r="G310" s="432"/>
      <c r="H310" s="460"/>
    </row>
    <row r="311" spans="1:8">
      <c r="A311" s="469"/>
      <c r="B311" s="467"/>
      <c r="C311" s="468"/>
      <c r="D311" s="459"/>
      <c r="E311" s="430"/>
      <c r="F311" s="431"/>
      <c r="G311" s="432"/>
      <c r="H311" s="460"/>
    </row>
    <row r="312" spans="1:8" ht="15.75" thickBot="1">
      <c r="A312" s="472"/>
      <c r="B312" s="473"/>
      <c r="C312" s="474"/>
      <c r="D312" s="464"/>
      <c r="E312" s="433"/>
      <c r="F312" s="434"/>
      <c r="G312" s="435"/>
      <c r="H312" s="465"/>
    </row>
    <row r="313" spans="1:8" ht="15.75" thickBot="1">
      <c r="A313" s="436"/>
      <c r="B313" s="436"/>
      <c r="C313" s="436"/>
      <c r="D313" s="436"/>
      <c r="E313" s="436"/>
      <c r="F313" s="436"/>
      <c r="G313" s="437" t="s">
        <v>86</v>
      </c>
      <c r="H313" s="466">
        <f>SUM(G307:G312)</f>
        <v>782547.75</v>
      </c>
    </row>
    <row r="314" spans="1:8" ht="15.75" thickBot="1">
      <c r="A314" s="450" t="s">
        <v>94</v>
      </c>
      <c r="B314" s="450"/>
      <c r="C314" s="436"/>
      <c r="D314" s="436"/>
      <c r="E314" s="436"/>
      <c r="F314" s="436"/>
      <c r="G314" s="436"/>
      <c r="H314" s="436"/>
    </row>
    <row r="315" spans="1:8">
      <c r="A315" s="1345" t="s">
        <v>95</v>
      </c>
      <c r="B315" s="1346"/>
      <c r="C315" s="1347"/>
      <c r="D315" s="438" t="s">
        <v>88</v>
      </c>
      <c r="E315" s="438" t="s">
        <v>89</v>
      </c>
      <c r="F315" s="438" t="s">
        <v>90</v>
      </c>
      <c r="G315" s="439" t="s">
        <v>84</v>
      </c>
      <c r="H315" s="457"/>
    </row>
    <row r="316" spans="1:8">
      <c r="A316" s="458" t="s">
        <v>235</v>
      </c>
      <c r="B316" s="467"/>
      <c r="C316" s="468"/>
      <c r="D316" s="459" t="s">
        <v>268</v>
      </c>
      <c r="E316" s="430">
        <v>10500</v>
      </c>
      <c r="F316" s="440">
        <v>1</v>
      </c>
      <c r="G316" s="432">
        <f>E316*F316</f>
        <v>10500</v>
      </c>
      <c r="H316" s="460"/>
    </row>
    <row r="317" spans="1:8" ht="15.75" thickBot="1">
      <c r="A317" s="1342"/>
      <c r="B317" s="1343"/>
      <c r="C317" s="1344"/>
      <c r="D317" s="475"/>
      <c r="E317" s="433"/>
      <c r="F317" s="434"/>
      <c r="G317" s="441"/>
      <c r="H317" s="460"/>
    </row>
    <row r="318" spans="1:8" ht="15.75" thickBot="1">
      <c r="A318" s="436"/>
      <c r="B318" s="436"/>
      <c r="C318" s="436"/>
      <c r="D318" s="436"/>
      <c r="E318" s="436"/>
      <c r="F318" s="436"/>
      <c r="G318" s="437" t="s">
        <v>86</v>
      </c>
      <c r="H318" s="466">
        <f>SUM(G316:G317)</f>
        <v>10500</v>
      </c>
    </row>
    <row r="319" spans="1:8" ht="15.75" thickBot="1">
      <c r="A319" s="450" t="s">
        <v>96</v>
      </c>
      <c r="B319" s="450"/>
      <c r="C319" s="436"/>
      <c r="D319" s="436"/>
      <c r="E319" s="436"/>
      <c r="F319" s="436"/>
      <c r="G319" s="436"/>
      <c r="H319" s="436"/>
    </row>
    <row r="320" spans="1:8">
      <c r="A320" s="476" t="s">
        <v>97</v>
      </c>
      <c r="B320" s="438"/>
      <c r="C320" s="438" t="s">
        <v>98</v>
      </c>
      <c r="D320" s="438" t="s">
        <v>99</v>
      </c>
      <c r="E320" s="442" t="s">
        <v>100</v>
      </c>
      <c r="F320" s="443" t="s">
        <v>83</v>
      </c>
      <c r="G320" s="444" t="s">
        <v>84</v>
      </c>
      <c r="H320" s="477"/>
    </row>
    <row r="321" spans="1:8">
      <c r="A321" s="478" t="s">
        <v>227</v>
      </c>
      <c r="B321" s="468"/>
      <c r="C321" s="479">
        <f>PERSONAL!$E$31</f>
        <v>48800</v>
      </c>
      <c r="D321" s="480">
        <f>PERSONAL!$F$31</f>
        <v>1.7431000000000001</v>
      </c>
      <c r="E321" s="440">
        <f>+D321*C321</f>
        <v>85063.28</v>
      </c>
      <c r="F321" s="440">
        <v>1.45</v>
      </c>
      <c r="G321" s="445">
        <f>ROUND(E321/F321,0)</f>
        <v>58664</v>
      </c>
      <c r="H321" s="451"/>
    </row>
    <row r="322" spans="1:8">
      <c r="A322" s="478" t="s">
        <v>101</v>
      </c>
      <c r="B322" s="467"/>
      <c r="C322" s="479">
        <f>PERSONAL!$E$32</f>
        <v>87200</v>
      </c>
      <c r="D322" s="480">
        <f>PERSONAL!$F$31</f>
        <v>1.7431000000000001</v>
      </c>
      <c r="E322" s="440">
        <f>+D322*C322</f>
        <v>151998.32</v>
      </c>
      <c r="F322" s="440">
        <f>+F321</f>
        <v>1.45</v>
      </c>
      <c r="G322" s="445">
        <f>ROUND(E322/F322,0)</f>
        <v>104826</v>
      </c>
      <c r="H322" s="451"/>
    </row>
    <row r="323" spans="1:8">
      <c r="A323" s="478"/>
      <c r="B323" s="468"/>
      <c r="C323" s="430"/>
      <c r="D323" s="459"/>
      <c r="E323" s="430"/>
      <c r="F323" s="440"/>
      <c r="G323" s="445"/>
      <c r="H323" s="451"/>
    </row>
    <row r="324" spans="1:8">
      <c r="A324" s="478"/>
      <c r="B324" s="468"/>
      <c r="C324" s="430"/>
      <c r="D324" s="459"/>
      <c r="E324" s="430"/>
      <c r="F324" s="440"/>
      <c r="G324" s="445"/>
      <c r="H324" s="451"/>
    </row>
    <row r="325" spans="1:8" ht="15.75" thickBot="1">
      <c r="A325" s="481"/>
      <c r="B325" s="474"/>
      <c r="C325" s="474"/>
      <c r="D325" s="474"/>
      <c r="E325" s="474"/>
      <c r="F325" s="474"/>
      <c r="G325" s="482"/>
      <c r="H325" s="482"/>
    </row>
    <row r="326" spans="1:8" ht="15.75" thickBot="1">
      <c r="A326" s="436"/>
      <c r="B326" s="436"/>
      <c r="C326" s="436"/>
      <c r="D326" s="436"/>
      <c r="E326" s="436"/>
      <c r="F326" s="436"/>
      <c r="G326" s="437" t="s">
        <v>86</v>
      </c>
      <c r="H326" s="466">
        <f>SUM(G321:G325)</f>
        <v>163490</v>
      </c>
    </row>
    <row r="327" spans="1:8" ht="15.75" thickBot="1">
      <c r="A327" s="436"/>
      <c r="B327" s="436"/>
      <c r="C327" s="436"/>
      <c r="D327" s="436"/>
      <c r="E327" s="436"/>
      <c r="F327" s="436"/>
      <c r="G327" s="483"/>
      <c r="H327" s="436"/>
    </row>
    <row r="328" spans="1:8" ht="15.75" thickBot="1">
      <c r="A328" s="436"/>
      <c r="B328" s="436"/>
      <c r="C328" s="436"/>
      <c r="D328" s="436"/>
      <c r="E328" s="484" t="s">
        <v>102</v>
      </c>
      <c r="F328" s="485"/>
      <c r="G328" s="485"/>
      <c r="H328" s="466">
        <f>H304+H313+H318+H326</f>
        <v>964712.25</v>
      </c>
    </row>
    <row r="329" spans="1:8" ht="15.75" thickBot="1">
      <c r="A329" s="450" t="s">
        <v>103</v>
      </c>
      <c r="B329" s="450"/>
      <c r="C329" s="436"/>
      <c r="D329" s="436"/>
      <c r="E329" s="436"/>
      <c r="F329" s="436"/>
      <c r="G329" s="436"/>
      <c r="H329" s="436"/>
    </row>
    <row r="330" spans="1:8">
      <c r="A330" s="487" t="s">
        <v>80</v>
      </c>
      <c r="B330" s="488"/>
      <c r="C330" s="488"/>
      <c r="D330" s="488"/>
      <c r="E330" s="489"/>
      <c r="F330" s="490" t="s">
        <v>104</v>
      </c>
      <c r="G330" s="491" t="s">
        <v>105</v>
      </c>
      <c r="H330" s="457"/>
    </row>
    <row r="331" spans="1:8">
      <c r="A331" s="469" t="s">
        <v>106</v>
      </c>
      <c r="B331" s="467"/>
      <c r="C331" s="467"/>
      <c r="D331" s="467"/>
      <c r="E331" s="468"/>
      <c r="F331" s="492">
        <f>PRESUPUESTO!$E$222</f>
        <v>0.109</v>
      </c>
      <c r="G331" s="493">
        <f>+F331*H328</f>
        <v>105153.63525000001</v>
      </c>
      <c r="H331" s="460"/>
    </row>
    <row r="332" spans="1:8">
      <c r="A332" s="469" t="s">
        <v>107</v>
      </c>
      <c r="B332" s="467"/>
      <c r="C332" s="467"/>
      <c r="D332" s="467"/>
      <c r="E332" s="468"/>
      <c r="F332" s="492">
        <f>PRESUPUESTO!$E$223</f>
        <v>0.05</v>
      </c>
      <c r="G332" s="493">
        <f>+F332*H328</f>
        <v>48235.612500000003</v>
      </c>
      <c r="H332" s="460"/>
    </row>
    <row r="333" spans="1:8" ht="15.75" thickBot="1">
      <c r="A333" s="472" t="s">
        <v>108</v>
      </c>
      <c r="B333" s="473"/>
      <c r="C333" s="473"/>
      <c r="D333" s="473"/>
      <c r="E333" s="474"/>
      <c r="F333" s="494">
        <v>0</v>
      </c>
      <c r="G333" s="495">
        <f>+F333*H328</f>
        <v>0</v>
      </c>
      <c r="H333" s="465"/>
    </row>
    <row r="334" spans="1:8" ht="15.75" thickBot="1">
      <c r="A334" s="436"/>
      <c r="B334" s="436"/>
      <c r="C334" s="436"/>
      <c r="D334" s="436"/>
      <c r="E334" s="436"/>
      <c r="F334" s="436"/>
      <c r="G334" s="437" t="s">
        <v>86</v>
      </c>
      <c r="H334" s="496">
        <f>SUM(G331:G333)</f>
        <v>153389.24775000001</v>
      </c>
    </row>
    <row r="335" spans="1:8" ht="15.75" thickBot="1">
      <c r="A335" s="436"/>
      <c r="B335" s="436"/>
      <c r="C335" s="436"/>
      <c r="D335" s="436"/>
      <c r="E335" s="436"/>
      <c r="F335" s="436"/>
      <c r="G335" s="436"/>
      <c r="H335" s="436"/>
    </row>
    <row r="336" spans="1:8" ht="15.75" thickBot="1">
      <c r="A336" s="446"/>
      <c r="B336" s="446"/>
      <c r="C336" s="436"/>
      <c r="D336" s="484" t="s">
        <v>109</v>
      </c>
      <c r="E336" s="485"/>
      <c r="F336" s="485"/>
      <c r="G336" s="485"/>
      <c r="H336" s="466">
        <f>ROUND((H328+H334),0)</f>
        <v>1118101</v>
      </c>
    </row>
    <row r="337" spans="1:10">
      <c r="A337" s="446"/>
      <c r="B337" s="446"/>
      <c r="C337" s="446"/>
      <c r="D337" s="446"/>
      <c r="E337" s="446"/>
      <c r="F337" s="446"/>
      <c r="G337" s="446"/>
      <c r="H337" s="446"/>
    </row>
    <row r="338" spans="1:10">
      <c r="A338" s="186" t="s">
        <v>77</v>
      </c>
      <c r="B338" s="446"/>
      <c r="C338" s="446"/>
      <c r="D338" s="446"/>
      <c r="E338" s="446"/>
      <c r="F338" s="446"/>
      <c r="G338" s="446"/>
      <c r="H338" s="446"/>
    </row>
    <row r="339" spans="1:10" ht="15.75" thickBot="1">
      <c r="A339" s="446"/>
      <c r="B339" s="446"/>
      <c r="C339" s="446"/>
      <c r="D339" s="446"/>
      <c r="E339" s="446"/>
      <c r="F339" s="446"/>
      <c r="G339" s="446"/>
      <c r="H339" s="446"/>
    </row>
    <row r="340" spans="1:10">
      <c r="A340" s="1348" t="s">
        <v>213</v>
      </c>
      <c r="B340" s="1349"/>
      <c r="C340" s="1350"/>
      <c r="D340" s="448"/>
      <c r="E340" s="448"/>
      <c r="F340" s="448"/>
      <c r="G340" s="448"/>
      <c r="H340" s="449"/>
    </row>
    <row r="341" spans="1:10">
      <c r="A341" s="1351"/>
      <c r="B341" s="1352"/>
      <c r="C341" s="1353"/>
      <c r="D341" s="436"/>
      <c r="E341" s="450" t="s">
        <v>78</v>
      </c>
      <c r="F341" s="436"/>
      <c r="G341" s="436"/>
      <c r="H341" s="451"/>
    </row>
    <row r="342" spans="1:10" ht="15.75" thickBot="1">
      <c r="A342" s="1354"/>
      <c r="B342" s="1355"/>
      <c r="C342" s="1356"/>
      <c r="D342" s="1360"/>
      <c r="E342" s="1361"/>
      <c r="F342" s="1361"/>
      <c r="G342" s="1361"/>
      <c r="H342" s="1362"/>
    </row>
    <row r="343" spans="1:10">
      <c r="A343" s="455"/>
      <c r="B343" s="436"/>
      <c r="C343" s="436"/>
      <c r="D343" s="436"/>
      <c r="E343" s="436"/>
      <c r="F343" s="436"/>
      <c r="G343" s="436"/>
      <c r="H343" s="436"/>
    </row>
    <row r="344" spans="1:10" s="446" customFormat="1" ht="12.75">
      <c r="A344" s="455" t="s">
        <v>1146</v>
      </c>
      <c r="B344" s="456" t="str">
        <f>+PRESUPUESTO!$B$70</f>
        <v>INSTALACIONES ELÉCTRICAS</v>
      </c>
      <c r="C344" s="436"/>
      <c r="E344" s="456"/>
      <c r="G344" s="456" t="s">
        <v>1123</v>
      </c>
      <c r="H344" s="483" t="s">
        <v>1171</v>
      </c>
      <c r="I344" s="436"/>
      <c r="J344" s="436"/>
    </row>
    <row r="345" spans="1:10" s="931" customFormat="1" ht="52.15" customHeight="1">
      <c r="A345" s="928" t="s">
        <v>1122</v>
      </c>
      <c r="B345" s="1375" t="str">
        <f>VLOOKUP(H344,PRESUPUESTO!$A$18:$F$251,2,FALSE)</f>
        <v>Suministro, Transporte e Instalacion de Gabinete Electrico, Incluye:
Breaker Industrial Totalizador 2x40A, Icc 10KA (1). Sistema de encendido/apagado automatico de Iluminacion con temporizador, incluye contactor. (1) Minibreaker 2x20A, Icc 10KA (7)Reserva No equipadas 2x20A, Icc 10KA (4)</v>
      </c>
      <c r="C345" s="1375"/>
      <c r="D345" s="1375"/>
      <c r="E345" s="1375"/>
      <c r="F345" s="1375"/>
      <c r="G345" s="929" t="s">
        <v>9</v>
      </c>
      <c r="H345" s="1024" t="str">
        <f>VLOOKUP(H344,PRESUPUESTO!$A$18:$F$251,3,FALSE)</f>
        <v>un</v>
      </c>
    </row>
    <row r="346" spans="1:10">
      <c r="A346" s="456"/>
      <c r="B346" s="456"/>
      <c r="C346" s="436"/>
      <c r="D346" s="456"/>
      <c r="E346" s="456"/>
      <c r="F346" s="456"/>
      <c r="G346" s="456"/>
      <c r="H346" s="436"/>
    </row>
    <row r="347" spans="1:10" ht="15.75" thickBot="1">
      <c r="A347" s="450" t="s">
        <v>79</v>
      </c>
      <c r="B347" s="450"/>
      <c r="C347" s="436"/>
      <c r="D347" s="436"/>
      <c r="E347" s="436"/>
      <c r="F347" s="436"/>
      <c r="G347" s="436"/>
      <c r="H347" s="436"/>
    </row>
    <row r="348" spans="1:10">
      <c r="A348" s="1345" t="s">
        <v>80</v>
      </c>
      <c r="B348" s="1346"/>
      <c r="C348" s="1347"/>
      <c r="D348" s="438" t="s">
        <v>81</v>
      </c>
      <c r="E348" s="438" t="s">
        <v>82</v>
      </c>
      <c r="F348" s="438" t="s">
        <v>83</v>
      </c>
      <c r="G348" s="439" t="s">
        <v>84</v>
      </c>
      <c r="H348" s="457"/>
    </row>
    <row r="349" spans="1:10">
      <c r="A349" s="1357" t="s">
        <v>471</v>
      </c>
      <c r="B349" s="1358"/>
      <c r="C349" s="1359"/>
      <c r="D349" s="459" t="s">
        <v>268</v>
      </c>
      <c r="E349" s="440">
        <f>+H374</f>
        <v>348620</v>
      </c>
      <c r="F349" s="440">
        <v>0.05</v>
      </c>
      <c r="G349" s="432">
        <f>E349*F349</f>
        <v>17431</v>
      </c>
      <c r="H349" s="460"/>
    </row>
    <row r="350" spans="1:10" s="446" customFormat="1" ht="12.75">
      <c r="A350" s="1376" t="s">
        <v>694</v>
      </c>
      <c r="B350" s="1377"/>
      <c r="C350" s="1378"/>
      <c r="D350" s="777" t="s">
        <v>1084</v>
      </c>
      <c r="E350" s="1012">
        <f>20750*1.19</f>
        <v>24692.5</v>
      </c>
      <c r="F350" s="779">
        <f>+F369</f>
        <v>1</v>
      </c>
      <c r="G350" s="780">
        <f>+E350/F350</f>
        <v>24692.5</v>
      </c>
      <c r="H350" s="776"/>
    </row>
    <row r="351" spans="1:10" ht="15.75" thickBot="1">
      <c r="A351" s="1342"/>
      <c r="B351" s="1343"/>
      <c r="C351" s="1344"/>
      <c r="D351" s="464"/>
      <c r="E351" s="433"/>
      <c r="F351" s="434"/>
      <c r="G351" s="441">
        <f>E351*F351</f>
        <v>0</v>
      </c>
      <c r="H351" s="465"/>
    </row>
    <row r="352" spans="1:10" ht="15.75" thickBot="1">
      <c r="A352" s="436"/>
      <c r="B352" s="436"/>
      <c r="C352" s="436"/>
      <c r="D352" s="436"/>
      <c r="E352" s="436"/>
      <c r="F352" s="436"/>
      <c r="G352" s="437" t="s">
        <v>86</v>
      </c>
      <c r="H352" s="466">
        <f>SUM(G349:G351)</f>
        <v>42123.5</v>
      </c>
    </row>
    <row r="353" spans="1:17" ht="15.75" thickBot="1">
      <c r="A353" s="450" t="s">
        <v>87</v>
      </c>
      <c r="B353" s="450"/>
      <c r="C353" s="436"/>
      <c r="D353" s="436"/>
      <c r="E353" s="436"/>
      <c r="F353" s="436"/>
      <c r="G353" s="436"/>
      <c r="H353" s="436"/>
    </row>
    <row r="354" spans="1:17">
      <c r="A354" s="1345" t="s">
        <v>80</v>
      </c>
      <c r="B354" s="1346"/>
      <c r="C354" s="1347"/>
      <c r="D354" s="438" t="s">
        <v>88</v>
      </c>
      <c r="E354" s="438" t="s">
        <v>89</v>
      </c>
      <c r="F354" s="438" t="s">
        <v>90</v>
      </c>
      <c r="G354" s="439" t="s">
        <v>84</v>
      </c>
      <c r="H354" s="457"/>
    </row>
    <row r="355" spans="1:17">
      <c r="A355" s="458" t="s">
        <v>472</v>
      </c>
      <c r="B355" s="467"/>
      <c r="C355" s="468"/>
      <c r="D355" s="995" t="s">
        <v>268</v>
      </c>
      <c r="E355" s="1017">
        <f>4500000+1383900-366726-1496497-82114-21912-563290</f>
        <v>3353361</v>
      </c>
      <c r="F355" s="1000">
        <v>1</v>
      </c>
      <c r="G355" s="1001">
        <f>E355*F355</f>
        <v>3353361</v>
      </c>
      <c r="H355" s="460"/>
      <c r="I355" s="672"/>
    </row>
    <row r="356" spans="1:17">
      <c r="A356" s="469" t="s">
        <v>473</v>
      </c>
      <c r="B356" s="467"/>
      <c r="C356" s="468"/>
      <c r="D356" s="995" t="s">
        <v>268</v>
      </c>
      <c r="E356" s="1010">
        <f>244700</f>
        <v>244700</v>
      </c>
      <c r="F356" s="1003">
        <v>1</v>
      </c>
      <c r="G356" s="1001">
        <f t="shared" ref="G356:G359" si="0">E356*F356</f>
        <v>244700</v>
      </c>
      <c r="H356" s="451"/>
    </row>
    <row r="357" spans="1:17">
      <c r="A357" s="469" t="s">
        <v>474</v>
      </c>
      <c r="B357" s="467"/>
      <c r="C357" s="471"/>
      <c r="D357" s="995" t="s">
        <v>268</v>
      </c>
      <c r="E357" s="1010">
        <f>1250000*1.19</f>
        <v>1487500</v>
      </c>
      <c r="F357" s="1003">
        <v>1</v>
      </c>
      <c r="G357" s="1001">
        <f t="shared" si="0"/>
        <v>1487500</v>
      </c>
      <c r="H357" s="451"/>
    </row>
    <row r="358" spans="1:17">
      <c r="A358" s="469" t="s">
        <v>475</v>
      </c>
      <c r="B358" s="467"/>
      <c r="C358" s="468"/>
      <c r="D358" s="995" t="s">
        <v>268</v>
      </c>
      <c r="E358" s="1010">
        <f>96100*1.19</f>
        <v>114359</v>
      </c>
      <c r="F358" s="1003">
        <v>7</v>
      </c>
      <c r="G358" s="1001">
        <f t="shared" si="0"/>
        <v>800513</v>
      </c>
      <c r="H358" s="451"/>
    </row>
    <row r="359" spans="1:17">
      <c r="A359" s="469" t="s">
        <v>476</v>
      </c>
      <c r="B359" s="467"/>
      <c r="C359" s="468"/>
      <c r="D359" s="995" t="s">
        <v>268</v>
      </c>
      <c r="E359" s="1002"/>
      <c r="F359" s="1003"/>
      <c r="G359" s="1001">
        <f t="shared" si="0"/>
        <v>0</v>
      </c>
      <c r="H359" s="451"/>
      <c r="M359" s="1412" t="s">
        <v>1119</v>
      </c>
      <c r="N359" s="1412"/>
      <c r="O359" s="1412"/>
      <c r="P359" s="1412"/>
      <c r="Q359" s="1412"/>
    </row>
    <row r="360" spans="1:17" ht="15.75" thickBot="1">
      <c r="A360" s="472"/>
      <c r="B360" s="473"/>
      <c r="C360" s="474"/>
      <c r="D360" s="464"/>
      <c r="E360" s="433"/>
      <c r="F360" s="434"/>
      <c r="G360" s="435"/>
      <c r="H360" s="465"/>
    </row>
    <row r="361" spans="1:17" ht="15.75" thickBot="1">
      <c r="A361" s="436"/>
      <c r="B361" s="436"/>
      <c r="C361" s="436"/>
      <c r="D361" s="436"/>
      <c r="E361" s="436"/>
      <c r="F361" s="436"/>
      <c r="G361" s="437" t="s">
        <v>86</v>
      </c>
      <c r="H361" s="466">
        <f>SUM(G355:G360)</f>
        <v>5886074</v>
      </c>
    </row>
    <row r="362" spans="1:17" ht="15.75" thickBot="1">
      <c r="A362" s="450" t="s">
        <v>94</v>
      </c>
      <c r="B362" s="450"/>
      <c r="C362" s="436"/>
      <c r="D362" s="436"/>
      <c r="E362" s="436"/>
      <c r="F362" s="436"/>
      <c r="G362" s="436"/>
      <c r="H362" s="436"/>
    </row>
    <row r="363" spans="1:17">
      <c r="A363" s="1345" t="s">
        <v>95</v>
      </c>
      <c r="B363" s="1346"/>
      <c r="C363" s="1347"/>
      <c r="D363" s="438" t="s">
        <v>88</v>
      </c>
      <c r="E363" s="438" t="s">
        <v>89</v>
      </c>
      <c r="F363" s="438" t="s">
        <v>90</v>
      </c>
      <c r="G363" s="439" t="s">
        <v>84</v>
      </c>
      <c r="H363" s="457"/>
    </row>
    <row r="364" spans="1:17">
      <c r="A364" s="458" t="s">
        <v>673</v>
      </c>
      <c r="B364" s="467"/>
      <c r="C364" s="468"/>
      <c r="D364" s="459" t="s">
        <v>668</v>
      </c>
      <c r="E364" s="430">
        <v>165000</v>
      </c>
      <c r="F364" s="440">
        <f>1/15</f>
        <v>6.6666666666666666E-2</v>
      </c>
      <c r="G364" s="432">
        <f>E364*F364</f>
        <v>11000</v>
      </c>
      <c r="H364" s="460"/>
    </row>
    <row r="365" spans="1:17" ht="15.75" thickBot="1">
      <c r="A365" s="458" t="s">
        <v>235</v>
      </c>
      <c r="B365" s="467"/>
      <c r="C365" s="468"/>
      <c r="D365" s="459" t="s">
        <v>173</v>
      </c>
      <c r="E365" s="430">
        <v>21500</v>
      </c>
      <c r="F365" s="440">
        <f>1/3</f>
        <v>0.33333333333333331</v>
      </c>
      <c r="G365" s="432">
        <f>E365*F365</f>
        <v>7166.6666666666661</v>
      </c>
      <c r="H365" s="460"/>
    </row>
    <row r="366" spans="1:17" ht="15.75" thickBot="1">
      <c r="A366" s="436"/>
      <c r="B366" s="436"/>
      <c r="C366" s="436"/>
      <c r="D366" s="436"/>
      <c r="E366" s="436"/>
      <c r="F366" s="436"/>
      <c r="G366" s="437" t="s">
        <v>86</v>
      </c>
      <c r="H366" s="466">
        <f>SUM(G364:G365)</f>
        <v>18166.666666666664</v>
      </c>
    </row>
    <row r="367" spans="1:17" ht="15.75" thickBot="1">
      <c r="A367" s="450" t="s">
        <v>96</v>
      </c>
      <c r="B367" s="450"/>
      <c r="C367" s="436"/>
      <c r="D367" s="436"/>
      <c r="E367" s="436"/>
      <c r="F367" s="436"/>
      <c r="G367" s="436"/>
      <c r="H367" s="436"/>
    </row>
    <row r="368" spans="1:17">
      <c r="A368" s="476" t="s">
        <v>97</v>
      </c>
      <c r="B368" s="438"/>
      <c r="C368" s="438" t="s">
        <v>98</v>
      </c>
      <c r="D368" s="438" t="s">
        <v>99</v>
      </c>
      <c r="E368" s="442" t="s">
        <v>100</v>
      </c>
      <c r="F368" s="443" t="s">
        <v>83</v>
      </c>
      <c r="G368" s="444" t="s">
        <v>84</v>
      </c>
      <c r="H368" s="477"/>
    </row>
    <row r="369" spans="1:17">
      <c r="A369" s="478" t="s">
        <v>1109</v>
      </c>
      <c r="B369" s="498">
        <v>2</v>
      </c>
      <c r="C369" s="479">
        <f>+PERSONAL!$E$34</f>
        <v>100000</v>
      </c>
      <c r="D369" s="480">
        <f>PERSONAL!$F$31</f>
        <v>1.7431000000000001</v>
      </c>
      <c r="E369" s="440">
        <f>+D369*C369*B369</f>
        <v>348620</v>
      </c>
      <c r="F369" s="440">
        <v>1</v>
      </c>
      <c r="G369" s="445">
        <f>ROUND(E369/F369,0)</f>
        <v>348620</v>
      </c>
      <c r="H369" s="451"/>
    </row>
    <row r="370" spans="1:17">
      <c r="A370" s="478"/>
      <c r="B370" s="467"/>
      <c r="C370" s="479"/>
      <c r="D370" s="480"/>
      <c r="E370" s="440"/>
      <c r="F370" s="440"/>
      <c r="G370" s="445"/>
      <c r="H370" s="451"/>
    </row>
    <row r="371" spans="1:17">
      <c r="A371" s="478"/>
      <c r="B371" s="468"/>
      <c r="C371" s="430"/>
      <c r="D371" s="459"/>
      <c r="E371" s="430"/>
      <c r="F371" s="440"/>
      <c r="G371" s="445"/>
      <c r="H371" s="451"/>
      <c r="M371" s="1412" t="s">
        <v>1119</v>
      </c>
      <c r="N371" s="1412"/>
      <c r="O371" s="1412"/>
      <c r="P371" s="1412"/>
      <c r="Q371" s="1412"/>
    </row>
    <row r="372" spans="1:17">
      <c r="A372" s="478"/>
      <c r="B372" s="468"/>
      <c r="C372" s="430"/>
      <c r="D372" s="459"/>
      <c r="E372" s="430"/>
      <c r="F372" s="440"/>
      <c r="G372" s="445"/>
      <c r="H372" s="451"/>
    </row>
    <row r="373" spans="1:17" ht="15.75" thickBot="1">
      <c r="A373" s="481"/>
      <c r="B373" s="474"/>
      <c r="C373" s="474"/>
      <c r="D373" s="474"/>
      <c r="E373" s="474"/>
      <c r="F373" s="474"/>
      <c r="G373" s="482"/>
      <c r="H373" s="482"/>
    </row>
    <row r="374" spans="1:17" ht="15.75" thickBot="1">
      <c r="A374" s="436"/>
      <c r="B374" s="436"/>
      <c r="C374" s="436"/>
      <c r="D374" s="436"/>
      <c r="E374" s="436"/>
      <c r="F374" s="436"/>
      <c r="G374" s="437" t="s">
        <v>86</v>
      </c>
      <c r="H374" s="466">
        <f>SUM(G369:G373)</f>
        <v>348620</v>
      </c>
    </row>
    <row r="375" spans="1:17" ht="15.75" thickBot="1">
      <c r="A375" s="436"/>
      <c r="B375" s="436"/>
      <c r="C375" s="436"/>
      <c r="D375" s="436"/>
      <c r="E375" s="436"/>
      <c r="F375" s="436"/>
      <c r="G375" s="483"/>
      <c r="H375" s="436"/>
    </row>
    <row r="376" spans="1:17" ht="15.75" thickBot="1">
      <c r="A376" s="436"/>
      <c r="B376" s="436"/>
      <c r="C376" s="436"/>
      <c r="D376" s="436"/>
      <c r="E376" s="484" t="s">
        <v>102</v>
      </c>
      <c r="F376" s="485"/>
      <c r="G376" s="485"/>
      <c r="H376" s="466">
        <f>H352+H361+H366+H374</f>
        <v>6294984.166666667</v>
      </c>
      <c r="J376" s="486"/>
    </row>
    <row r="377" spans="1:17" ht="15.75" thickBot="1">
      <c r="A377" s="450" t="s">
        <v>103</v>
      </c>
      <c r="B377" s="450"/>
      <c r="C377" s="436"/>
      <c r="D377" s="436"/>
      <c r="E377" s="436"/>
      <c r="F377" s="436"/>
      <c r="G377" s="436"/>
      <c r="H377" s="436"/>
    </row>
    <row r="378" spans="1:17">
      <c r="A378" s="487" t="s">
        <v>80</v>
      </c>
      <c r="B378" s="488"/>
      <c r="C378" s="488"/>
      <c r="D378" s="488"/>
      <c r="E378" s="489"/>
      <c r="F378" s="490" t="s">
        <v>104</v>
      </c>
      <c r="G378" s="491" t="s">
        <v>105</v>
      </c>
      <c r="H378" s="457"/>
    </row>
    <row r="379" spans="1:17">
      <c r="A379" s="469" t="s">
        <v>106</v>
      </c>
      <c r="B379" s="467"/>
      <c r="C379" s="467"/>
      <c r="D379" s="467"/>
      <c r="E379" s="468"/>
      <c r="F379" s="492">
        <f>+'CALCULO AU'!C37</f>
        <v>0.109</v>
      </c>
      <c r="G379" s="493">
        <f>+F379*H376</f>
        <v>686153.27416666667</v>
      </c>
      <c r="H379" s="460"/>
    </row>
    <row r="380" spans="1:17">
      <c r="A380" s="469" t="s">
        <v>107</v>
      </c>
      <c r="B380" s="467"/>
      <c r="C380" s="467"/>
      <c r="D380" s="467"/>
      <c r="E380" s="468"/>
      <c r="F380" s="492">
        <f>PRESUPUESTO!$E$223</f>
        <v>0.05</v>
      </c>
      <c r="G380" s="493">
        <f>+F380*H376</f>
        <v>314749.20833333337</v>
      </c>
      <c r="H380" s="460"/>
    </row>
    <row r="381" spans="1:17" ht="15.75" thickBot="1">
      <c r="A381" s="472" t="s">
        <v>108</v>
      </c>
      <c r="B381" s="473"/>
      <c r="C381" s="473"/>
      <c r="D381" s="473"/>
      <c r="E381" s="474"/>
      <c r="F381" s="494">
        <v>0</v>
      </c>
      <c r="G381" s="495">
        <f>+F381*H376</f>
        <v>0</v>
      </c>
      <c r="H381" s="465"/>
    </row>
    <row r="382" spans="1:17" ht="15.75" thickBot="1">
      <c r="A382" s="436"/>
      <c r="B382" s="436"/>
      <c r="C382" s="436"/>
      <c r="D382" s="436"/>
      <c r="E382" s="436"/>
      <c r="F382" s="436"/>
      <c r="G382" s="437" t="s">
        <v>86</v>
      </c>
      <c r="H382" s="496">
        <f>SUM(G379:G381)</f>
        <v>1000902.4825</v>
      </c>
    </row>
    <row r="383" spans="1:17" ht="15.75" thickBot="1">
      <c r="A383" s="436"/>
      <c r="B383" s="436"/>
      <c r="C383" s="436"/>
      <c r="D383" s="436"/>
      <c r="E383" s="436"/>
      <c r="F383" s="436"/>
      <c r="G383" s="436"/>
      <c r="H383" s="436"/>
    </row>
    <row r="384" spans="1:17" ht="15.75" thickBot="1">
      <c r="A384" s="446"/>
      <c r="B384" s="446"/>
      <c r="C384" s="436"/>
      <c r="D384" s="484" t="s">
        <v>109</v>
      </c>
      <c r="E384" s="485"/>
      <c r="F384" s="485"/>
      <c r="G384" s="485"/>
      <c r="H384" s="466">
        <f>ROUND((H376+H382),0)</f>
        <v>7295887</v>
      </c>
    </row>
    <row r="386" spans="1:10">
      <c r="A386" s="186" t="s">
        <v>77</v>
      </c>
      <c r="B386" s="446"/>
      <c r="C386" s="446"/>
      <c r="D386" s="446"/>
      <c r="E386" s="446"/>
      <c r="F386" s="446"/>
      <c r="G386" s="446"/>
      <c r="H386" s="446"/>
    </row>
    <row r="387" spans="1:10" ht="15.75" thickBot="1">
      <c r="A387" s="446"/>
      <c r="B387" s="446"/>
      <c r="C387" s="446"/>
      <c r="D387" s="446"/>
      <c r="E387" s="446"/>
      <c r="F387" s="446"/>
      <c r="G387" s="446"/>
      <c r="H387" s="446"/>
    </row>
    <row r="388" spans="1:10">
      <c r="A388" s="1348" t="s">
        <v>213</v>
      </c>
      <c r="B388" s="1349"/>
      <c r="C388" s="1350"/>
      <c r="D388" s="448"/>
      <c r="E388" s="448"/>
      <c r="F388" s="448"/>
      <c r="G388" s="448"/>
      <c r="H388" s="449"/>
    </row>
    <row r="389" spans="1:10">
      <c r="A389" s="1351"/>
      <c r="B389" s="1352"/>
      <c r="C389" s="1353"/>
      <c r="D389" s="436"/>
      <c r="E389" s="450" t="s">
        <v>78</v>
      </c>
      <c r="F389" s="436"/>
      <c r="G389" s="436"/>
      <c r="H389" s="451"/>
    </row>
    <row r="390" spans="1:10" ht="15.75" thickBot="1">
      <c r="A390" s="1354"/>
      <c r="B390" s="1355"/>
      <c r="C390" s="1356"/>
      <c r="D390" s="1360"/>
      <c r="E390" s="1361"/>
      <c r="F390" s="1361"/>
      <c r="G390" s="1361"/>
      <c r="H390" s="1362"/>
    </row>
    <row r="391" spans="1:10">
      <c r="A391" s="455"/>
      <c r="B391" s="436"/>
      <c r="C391" s="436"/>
      <c r="D391" s="436"/>
      <c r="E391" s="436"/>
      <c r="F391" s="436"/>
      <c r="G391" s="436"/>
      <c r="H391" s="436"/>
    </row>
    <row r="392" spans="1:10" s="446" customFormat="1" ht="12.75">
      <c r="A392" s="455" t="s">
        <v>1146</v>
      </c>
      <c r="B392" s="456" t="str">
        <f>+PRESUPUESTO!$B$70</f>
        <v>INSTALACIONES ELÉCTRICAS</v>
      </c>
      <c r="C392" s="436"/>
      <c r="E392" s="456"/>
      <c r="G392" s="456" t="s">
        <v>1123</v>
      </c>
      <c r="H392" s="483" t="s">
        <v>1172</v>
      </c>
      <c r="I392" s="436"/>
      <c r="J392" s="436"/>
    </row>
    <row r="393" spans="1:10" s="931" customFormat="1" ht="52.15" customHeight="1">
      <c r="A393" s="928" t="s">
        <v>1122</v>
      </c>
      <c r="B393" s="1375" t="str">
        <f>VLOOKUP(H392,PRESUPUESTO!$A$18:$F$251,2,FALSE)</f>
        <v xml:space="preserve">Suministro, transporte e instalación de Aliemntadores en Cable 3N10 AWG-THHN, canalizado con sus accesorios de montaje, y demás elementos necesarios para su correcta instalación.  </v>
      </c>
      <c r="C393" s="1375"/>
      <c r="D393" s="1375"/>
      <c r="E393" s="1375"/>
      <c r="F393" s="1375"/>
      <c r="G393" s="929" t="s">
        <v>9</v>
      </c>
      <c r="H393" s="1024" t="str">
        <f>VLOOKUP(H392,PRESUPUESTO!$A$18:$F$251,3,FALSE)</f>
        <v>ml</v>
      </c>
    </row>
    <row r="394" spans="1:10">
      <c r="A394" s="456"/>
      <c r="B394" s="456"/>
      <c r="C394" s="436"/>
      <c r="D394" s="456"/>
      <c r="E394" s="456"/>
      <c r="F394" s="456"/>
      <c r="G394" s="456"/>
      <c r="H394" s="436"/>
    </row>
    <row r="395" spans="1:10" ht="15.75" thickBot="1">
      <c r="A395" s="450" t="s">
        <v>79</v>
      </c>
      <c r="B395" s="450"/>
      <c r="C395" s="436"/>
      <c r="D395" s="436"/>
      <c r="E395" s="436"/>
      <c r="F395" s="436"/>
      <c r="G395" s="436"/>
      <c r="H395" s="436"/>
    </row>
    <row r="396" spans="1:10">
      <c r="A396" s="1345" t="s">
        <v>80</v>
      </c>
      <c r="B396" s="1346"/>
      <c r="C396" s="1347"/>
      <c r="D396" s="438" t="s">
        <v>81</v>
      </c>
      <c r="E396" s="438" t="s">
        <v>82</v>
      </c>
      <c r="F396" s="438" t="s">
        <v>83</v>
      </c>
      <c r="G396" s="439" t="s">
        <v>84</v>
      </c>
      <c r="H396" s="457"/>
    </row>
    <row r="397" spans="1:10">
      <c r="A397" s="1357" t="s">
        <v>471</v>
      </c>
      <c r="B397" s="1358"/>
      <c r="C397" s="1359"/>
      <c r="D397" s="459" t="s">
        <v>268</v>
      </c>
      <c r="E397" s="440">
        <f>+H422</f>
        <v>9684</v>
      </c>
      <c r="F397" s="440">
        <v>0.05</v>
      </c>
      <c r="G397" s="432">
        <f>E397*F397</f>
        <v>484.20000000000005</v>
      </c>
      <c r="H397" s="460"/>
    </row>
    <row r="398" spans="1:10">
      <c r="A398" s="1357" t="s">
        <v>679</v>
      </c>
      <c r="B398" s="1358"/>
      <c r="C398" s="1359"/>
      <c r="D398" s="461" t="s">
        <v>680</v>
      </c>
      <c r="E398" s="462">
        <f>19992*1.1</f>
        <v>21991.200000000001</v>
      </c>
      <c r="F398" s="497">
        <f>1.5/+F417</f>
        <v>8.3333333333333329E-2</v>
      </c>
      <c r="G398" s="432">
        <f>E398*F398</f>
        <v>1832.6</v>
      </c>
      <c r="H398" s="460"/>
    </row>
    <row r="399" spans="1:10" ht="15.75" thickBot="1">
      <c r="A399" s="1342"/>
      <c r="B399" s="1343"/>
      <c r="C399" s="1344"/>
      <c r="D399" s="464"/>
      <c r="E399" s="433"/>
      <c r="F399" s="434"/>
      <c r="G399" s="441">
        <f>E399*F399</f>
        <v>0</v>
      </c>
      <c r="H399" s="465"/>
    </row>
    <row r="400" spans="1:10" ht="15.75" thickBot="1">
      <c r="A400" s="436"/>
      <c r="B400" s="436"/>
      <c r="C400" s="436"/>
      <c r="D400" s="436"/>
      <c r="E400" s="436"/>
      <c r="F400" s="436"/>
      <c r="G400" s="437" t="s">
        <v>86</v>
      </c>
      <c r="H400" s="466">
        <f>SUM(G397:G399)</f>
        <v>2316.8000000000002</v>
      </c>
    </row>
    <row r="401" spans="1:15" ht="15.75" thickBot="1">
      <c r="A401" s="450" t="s">
        <v>87</v>
      </c>
      <c r="B401" s="450"/>
      <c r="C401" s="436"/>
      <c r="D401" s="436"/>
      <c r="E401" s="436"/>
      <c r="F401" s="436"/>
      <c r="G401" s="436"/>
      <c r="H401" s="436"/>
    </row>
    <row r="402" spans="1:15">
      <c r="A402" s="1345" t="s">
        <v>80</v>
      </c>
      <c r="B402" s="1346"/>
      <c r="C402" s="1347"/>
      <c r="D402" s="438" t="s">
        <v>88</v>
      </c>
      <c r="E402" s="438" t="s">
        <v>89</v>
      </c>
      <c r="F402" s="438" t="s">
        <v>90</v>
      </c>
      <c r="G402" s="439" t="s">
        <v>84</v>
      </c>
      <c r="H402" s="457"/>
    </row>
    <row r="403" spans="1:15">
      <c r="A403" s="458" t="s">
        <v>477</v>
      </c>
      <c r="B403" s="467"/>
      <c r="C403" s="468"/>
      <c r="D403" s="459" t="s">
        <v>268</v>
      </c>
      <c r="E403" s="1013">
        <f>4300*1.19</f>
        <v>5117</v>
      </c>
      <c r="F403" s="440">
        <f>3*1.05</f>
        <v>3.1500000000000004</v>
      </c>
      <c r="G403" s="432">
        <f>E403*F403</f>
        <v>16118.550000000001</v>
      </c>
      <c r="H403" s="460"/>
      <c r="I403" s="672" t="s">
        <v>1105</v>
      </c>
    </row>
    <row r="404" spans="1:15">
      <c r="A404" s="469"/>
      <c r="B404" s="467"/>
      <c r="C404" s="468"/>
      <c r="D404" s="459"/>
      <c r="E404" s="430"/>
      <c r="F404" s="431"/>
      <c r="G404" s="432"/>
      <c r="H404" s="460"/>
    </row>
    <row r="405" spans="1:15">
      <c r="A405" s="469" t="s">
        <v>1112</v>
      </c>
      <c r="B405" s="467"/>
      <c r="C405" s="468"/>
      <c r="D405" s="459" t="s">
        <v>268</v>
      </c>
      <c r="E405" s="1014">
        <v>39900</v>
      </c>
      <c r="F405" s="440">
        <f>1/100/2</f>
        <v>5.0000000000000001E-3</v>
      </c>
      <c r="G405" s="432">
        <f>F405*E405</f>
        <v>199.5</v>
      </c>
      <c r="H405" s="460"/>
    </row>
    <row r="406" spans="1:15">
      <c r="A406" s="469" t="s">
        <v>1113</v>
      </c>
      <c r="B406" s="467"/>
      <c r="C406" s="468"/>
      <c r="D406" s="459" t="s">
        <v>268</v>
      </c>
      <c r="E406" s="1014">
        <v>9000</v>
      </c>
      <c r="F406" s="431">
        <f>1/100</f>
        <v>0.01</v>
      </c>
      <c r="G406" s="432">
        <f>F406*E406</f>
        <v>90</v>
      </c>
      <c r="H406" s="460"/>
    </row>
    <row r="407" spans="1:15">
      <c r="A407" s="469"/>
      <c r="B407" s="467"/>
      <c r="C407" s="468"/>
      <c r="D407" s="459"/>
      <c r="E407" s="430"/>
      <c r="F407" s="431"/>
      <c r="G407" s="432"/>
      <c r="H407" s="460"/>
    </row>
    <row r="408" spans="1:15" ht="15.75" thickBot="1">
      <c r="A408" s="472"/>
      <c r="B408" s="473"/>
      <c r="C408" s="474"/>
      <c r="D408" s="464"/>
      <c r="E408" s="433"/>
      <c r="F408" s="434"/>
      <c r="G408" s="435"/>
      <c r="H408" s="465"/>
    </row>
    <row r="409" spans="1:15" ht="15.75" thickBot="1">
      <c r="A409" s="436"/>
      <c r="B409" s="436"/>
      <c r="C409" s="436"/>
      <c r="D409" s="436"/>
      <c r="E409" s="436"/>
      <c r="F409" s="436"/>
      <c r="G409" s="437" t="s">
        <v>86</v>
      </c>
      <c r="H409" s="466">
        <f>SUM(G403:G408)</f>
        <v>16408.050000000003</v>
      </c>
      <c r="K409" s="1412" t="s">
        <v>1119</v>
      </c>
      <c r="L409" s="1412"/>
      <c r="M409" s="1412"/>
      <c r="N409" s="1412"/>
      <c r="O409" s="1412"/>
    </row>
    <row r="410" spans="1:15" ht="15.75" thickBot="1">
      <c r="A410" s="450" t="s">
        <v>94</v>
      </c>
      <c r="B410" s="450"/>
      <c r="C410" s="436"/>
      <c r="D410" s="436"/>
      <c r="E410" s="436"/>
      <c r="F410" s="436"/>
      <c r="G410" s="436"/>
      <c r="H410" s="436"/>
    </row>
    <row r="411" spans="1:15">
      <c r="A411" s="1345" t="s">
        <v>95</v>
      </c>
      <c r="B411" s="1346"/>
      <c r="C411" s="1347"/>
      <c r="D411" s="438" t="s">
        <v>88</v>
      </c>
      <c r="E411" s="438" t="s">
        <v>89</v>
      </c>
      <c r="F411" s="438" t="s">
        <v>90</v>
      </c>
      <c r="G411" s="439" t="s">
        <v>84</v>
      </c>
      <c r="H411" s="457"/>
    </row>
    <row r="412" spans="1:15">
      <c r="A412" s="458" t="s">
        <v>235</v>
      </c>
      <c r="B412" s="467"/>
      <c r="C412" s="468"/>
      <c r="D412" s="459" t="s">
        <v>271</v>
      </c>
      <c r="E412" s="430">
        <v>2200</v>
      </c>
      <c r="F412" s="440">
        <v>1</v>
      </c>
      <c r="G412" s="432">
        <f>E412*F412</f>
        <v>2200</v>
      </c>
      <c r="H412" s="460"/>
    </row>
    <row r="413" spans="1:15" ht="15.75" thickBot="1">
      <c r="A413" s="1342"/>
      <c r="B413" s="1343"/>
      <c r="C413" s="1344"/>
      <c r="D413" s="475"/>
      <c r="E413" s="433"/>
      <c r="F413" s="434"/>
      <c r="G413" s="441"/>
      <c r="H413" s="460"/>
    </row>
    <row r="414" spans="1:15" ht="15.75" thickBot="1">
      <c r="A414" s="436"/>
      <c r="B414" s="436"/>
      <c r="C414" s="436"/>
      <c r="D414" s="436"/>
      <c r="E414" s="436"/>
      <c r="F414" s="436"/>
      <c r="G414" s="437" t="s">
        <v>86</v>
      </c>
      <c r="H414" s="466">
        <f>SUM(G412:G413)</f>
        <v>2200</v>
      </c>
      <c r="I414" s="676"/>
    </row>
    <row r="415" spans="1:15" ht="15.75" thickBot="1">
      <c r="A415" s="450" t="s">
        <v>96</v>
      </c>
      <c r="B415" s="450"/>
      <c r="C415" s="436"/>
      <c r="D415" s="436"/>
      <c r="E415" s="436"/>
      <c r="F415" s="436"/>
      <c r="G415" s="436"/>
      <c r="H415" s="436"/>
    </row>
    <row r="416" spans="1:15">
      <c r="A416" s="476" t="s">
        <v>97</v>
      </c>
      <c r="B416" s="438"/>
      <c r="C416" s="438" t="s">
        <v>98</v>
      </c>
      <c r="D416" s="438" t="s">
        <v>99</v>
      </c>
      <c r="E416" s="442" t="s">
        <v>100</v>
      </c>
      <c r="F416" s="443" t="s">
        <v>83</v>
      </c>
      <c r="G416" s="444" t="s">
        <v>84</v>
      </c>
      <c r="H416" s="477"/>
    </row>
    <row r="417" spans="1:9">
      <c r="A417" s="478" t="s">
        <v>1109</v>
      </c>
      <c r="B417" s="467"/>
      <c r="C417" s="479">
        <f>+PERSONAL!$E$34</f>
        <v>100000</v>
      </c>
      <c r="D417" s="480">
        <f>PERSONAL!$F$31</f>
        <v>1.7431000000000001</v>
      </c>
      <c r="E417" s="440">
        <f>+D417*C417</f>
        <v>174310</v>
      </c>
      <c r="F417" s="440">
        <v>18</v>
      </c>
      <c r="G417" s="445">
        <f>ROUND(E417/F417,0)</f>
        <v>9684</v>
      </c>
      <c r="H417" s="451"/>
    </row>
    <row r="418" spans="1:9">
      <c r="A418" s="478"/>
      <c r="B418" s="467"/>
      <c r="C418" s="479"/>
      <c r="D418" s="480"/>
      <c r="E418" s="440"/>
      <c r="F418" s="440"/>
      <c r="G418" s="445"/>
      <c r="H418" s="451"/>
    </row>
    <row r="419" spans="1:9">
      <c r="A419" s="478"/>
      <c r="B419" s="468"/>
      <c r="C419" s="430"/>
      <c r="D419" s="459"/>
      <c r="E419" s="430"/>
      <c r="F419" s="440"/>
      <c r="G419" s="445"/>
      <c r="H419" s="451"/>
    </row>
    <row r="420" spans="1:9">
      <c r="A420" s="478"/>
      <c r="B420" s="468"/>
      <c r="C420" s="430"/>
      <c r="D420" s="459"/>
      <c r="E420" s="430"/>
      <c r="F420" s="440"/>
      <c r="G420" s="445"/>
      <c r="H420" s="451"/>
    </row>
    <row r="421" spans="1:9" ht="15.75" thickBot="1">
      <c r="A421" s="481"/>
      <c r="B421" s="474"/>
      <c r="C421" s="474"/>
      <c r="D421" s="474"/>
      <c r="E421" s="474"/>
      <c r="F421" s="474"/>
      <c r="G421" s="482"/>
      <c r="H421" s="482"/>
    </row>
    <row r="422" spans="1:9" ht="15.75" thickBot="1">
      <c r="A422" s="436"/>
      <c r="B422" s="436"/>
      <c r="C422" s="436"/>
      <c r="D422" s="436"/>
      <c r="E422" s="436"/>
      <c r="F422" s="436"/>
      <c r="G422" s="437" t="s">
        <v>86</v>
      </c>
      <c r="H422" s="466">
        <f>SUM(G417:G421)</f>
        <v>9684</v>
      </c>
      <c r="I422" s="676"/>
    </row>
    <row r="423" spans="1:9" ht="15.75" thickBot="1">
      <c r="A423" s="436"/>
      <c r="B423" s="436"/>
      <c r="C423" s="436"/>
      <c r="D423" s="436"/>
      <c r="E423" s="436"/>
      <c r="F423" s="436"/>
      <c r="G423" s="483"/>
      <c r="H423" s="436"/>
    </row>
    <row r="424" spans="1:9" ht="15.75" thickBot="1">
      <c r="A424" s="436"/>
      <c r="B424" s="436"/>
      <c r="C424" s="436"/>
      <c r="D424" s="436"/>
      <c r="E424" s="484" t="s">
        <v>102</v>
      </c>
      <c r="F424" s="485"/>
      <c r="G424" s="485"/>
      <c r="H424" s="466">
        <f>H400+H409+H414+H422</f>
        <v>30608.850000000002</v>
      </c>
    </row>
    <row r="425" spans="1:9" ht="15.75" thickBot="1">
      <c r="A425" s="450" t="s">
        <v>103</v>
      </c>
      <c r="B425" s="450"/>
      <c r="C425" s="436"/>
      <c r="D425" s="436"/>
      <c r="E425" s="436"/>
      <c r="F425" s="436"/>
      <c r="G425" s="436"/>
      <c r="H425" s="436"/>
    </row>
    <row r="426" spans="1:9">
      <c r="A426" s="487" t="s">
        <v>80</v>
      </c>
      <c r="B426" s="488"/>
      <c r="C426" s="488"/>
      <c r="D426" s="488"/>
      <c r="E426" s="489"/>
      <c r="F426" s="490" t="s">
        <v>104</v>
      </c>
      <c r="G426" s="491" t="s">
        <v>105</v>
      </c>
      <c r="H426" s="457"/>
    </row>
    <row r="427" spans="1:9">
      <c r="A427" s="469" t="s">
        <v>106</v>
      </c>
      <c r="B427" s="467"/>
      <c r="C427" s="467"/>
      <c r="D427" s="467"/>
      <c r="E427" s="468"/>
      <c r="F427" s="492">
        <f>PRESUPUESTO!$E$222</f>
        <v>0.109</v>
      </c>
      <c r="G427" s="493">
        <f>+F427*H424</f>
        <v>3336.3646500000004</v>
      </c>
      <c r="H427" s="460"/>
    </row>
    <row r="428" spans="1:9">
      <c r="A428" s="469" t="s">
        <v>107</v>
      </c>
      <c r="B428" s="467"/>
      <c r="C428" s="467"/>
      <c r="D428" s="467"/>
      <c r="E428" s="468"/>
      <c r="F428" s="492">
        <f>PRESUPUESTO!$E$223</f>
        <v>0.05</v>
      </c>
      <c r="G428" s="493">
        <f>+F428*H424</f>
        <v>1530.4425000000001</v>
      </c>
      <c r="H428" s="460"/>
    </row>
    <row r="429" spans="1:9" ht="15.75" thickBot="1">
      <c r="A429" s="472" t="s">
        <v>108</v>
      </c>
      <c r="B429" s="473"/>
      <c r="C429" s="473"/>
      <c r="D429" s="473"/>
      <c r="E429" s="474"/>
      <c r="F429" s="494">
        <v>0</v>
      </c>
      <c r="G429" s="495">
        <f>+F429*H424</f>
        <v>0</v>
      </c>
      <c r="H429" s="465"/>
    </row>
    <row r="430" spans="1:9" ht="15.75" thickBot="1">
      <c r="A430" s="436"/>
      <c r="B430" s="436"/>
      <c r="C430" s="436"/>
      <c r="D430" s="436"/>
      <c r="E430" s="436"/>
      <c r="F430" s="436"/>
      <c r="G430" s="437" t="s">
        <v>86</v>
      </c>
      <c r="H430" s="496">
        <f>SUM(G427:G429)</f>
        <v>4866.8071500000005</v>
      </c>
    </row>
    <row r="431" spans="1:9" ht="15.75" thickBot="1">
      <c r="A431" s="436"/>
      <c r="B431" s="436"/>
      <c r="C431" s="436"/>
      <c r="D431" s="436"/>
      <c r="E431" s="436"/>
      <c r="F431" s="436"/>
      <c r="G431" s="436"/>
      <c r="H431" s="436"/>
    </row>
    <row r="432" spans="1:9" ht="15.75" thickBot="1">
      <c r="A432" s="446"/>
      <c r="B432" s="446"/>
      <c r="C432" s="436"/>
      <c r="D432" s="484" t="s">
        <v>109</v>
      </c>
      <c r="E432" s="485"/>
      <c r="F432" s="485"/>
      <c r="G432" s="485"/>
      <c r="H432" s="466">
        <f>ROUND((H424+H430),0)</f>
        <v>35476</v>
      </c>
    </row>
    <row r="433" spans="1:10">
      <c r="A433" s="446"/>
      <c r="B433" s="446"/>
      <c r="C433" s="446"/>
      <c r="D433" s="446"/>
      <c r="E433" s="446"/>
      <c r="F433" s="446"/>
      <c r="G433" s="446"/>
      <c r="H433" s="446"/>
    </row>
    <row r="434" spans="1:10">
      <c r="A434" s="186" t="s">
        <v>77</v>
      </c>
      <c r="B434" s="446"/>
      <c r="C434" s="446"/>
      <c r="D434" s="446"/>
      <c r="E434" s="446"/>
      <c r="F434" s="446"/>
      <c r="G434" s="446"/>
      <c r="H434" s="446"/>
    </row>
    <row r="435" spans="1:10" ht="15.75" thickBot="1">
      <c r="A435" s="446"/>
      <c r="B435" s="446"/>
      <c r="C435" s="446"/>
      <c r="D435" s="446"/>
      <c r="E435" s="446"/>
      <c r="F435" s="446"/>
      <c r="G435" s="446"/>
      <c r="H435" s="446"/>
    </row>
    <row r="436" spans="1:10">
      <c r="A436" s="1348" t="s">
        <v>213</v>
      </c>
      <c r="B436" s="1349"/>
      <c r="C436" s="1350"/>
      <c r="D436" s="448"/>
      <c r="E436" s="448"/>
      <c r="F436" s="448"/>
      <c r="G436" s="448"/>
      <c r="H436" s="449"/>
    </row>
    <row r="437" spans="1:10">
      <c r="A437" s="1351"/>
      <c r="B437" s="1352"/>
      <c r="C437" s="1353"/>
      <c r="D437" s="436"/>
      <c r="E437" s="450" t="s">
        <v>78</v>
      </c>
      <c r="F437" s="436"/>
      <c r="G437" s="436"/>
      <c r="H437" s="451"/>
    </row>
    <row r="438" spans="1:10" ht="15.75" thickBot="1">
      <c r="A438" s="1354"/>
      <c r="B438" s="1355"/>
      <c r="C438" s="1356"/>
      <c r="D438" s="1360"/>
      <c r="E438" s="1361"/>
      <c r="F438" s="1361"/>
      <c r="G438" s="1361"/>
      <c r="H438" s="1362"/>
    </row>
    <row r="439" spans="1:10">
      <c r="A439" s="455"/>
      <c r="B439" s="436"/>
      <c r="C439" s="436"/>
      <c r="D439" s="436"/>
      <c r="E439" s="436"/>
      <c r="F439" s="436"/>
      <c r="G439" s="436"/>
      <c r="H439" s="436"/>
    </row>
    <row r="440" spans="1:10" s="446" customFormat="1" ht="12.75">
      <c r="A440" s="455" t="s">
        <v>1146</v>
      </c>
      <c r="B440" s="456" t="str">
        <f>+PRESUPUESTO!$B$70</f>
        <v>INSTALACIONES ELÉCTRICAS</v>
      </c>
      <c r="C440" s="436"/>
      <c r="E440" s="456"/>
      <c r="G440" s="456" t="s">
        <v>1123</v>
      </c>
      <c r="H440" s="483" t="s">
        <v>1173</v>
      </c>
      <c r="I440" s="436"/>
      <c r="J440" s="436"/>
    </row>
    <row r="441" spans="1:10" s="931" customFormat="1" ht="52.15" customHeight="1">
      <c r="A441" s="928" t="s">
        <v>1122</v>
      </c>
      <c r="B441" s="1375" t="str">
        <f>VLOOKUP(H440,PRESUPUESTO!$A$18:$F$251,2,FALSE)</f>
        <v xml:space="preserve">Suministro, transporte e instalación de tubería PVC de 1" de diámetro, canalizada, con sus accesorios de montaje, y demás elementos necesarios para su correcta instalación.  </v>
      </c>
      <c r="C441" s="1375"/>
      <c r="D441" s="1375"/>
      <c r="E441" s="1375"/>
      <c r="F441" s="1375"/>
      <c r="G441" s="929" t="s">
        <v>9</v>
      </c>
      <c r="H441" s="1024" t="str">
        <f>VLOOKUP(H440,PRESUPUESTO!$A$18:$F$251,3,FALSE)</f>
        <v>ml</v>
      </c>
    </row>
    <row r="442" spans="1:10">
      <c r="A442" s="456"/>
      <c r="B442" s="456"/>
      <c r="C442" s="436"/>
      <c r="D442" s="456"/>
      <c r="E442" s="456"/>
      <c r="F442" s="456"/>
      <c r="G442" s="456"/>
      <c r="H442" s="436"/>
    </row>
    <row r="443" spans="1:10" ht="15.75" thickBot="1">
      <c r="A443" s="450" t="s">
        <v>79</v>
      </c>
      <c r="B443" s="450"/>
      <c r="C443" s="436"/>
      <c r="D443" s="436"/>
      <c r="E443" s="436"/>
      <c r="F443" s="436"/>
      <c r="G443" s="436"/>
      <c r="H443" s="436"/>
    </row>
    <row r="444" spans="1:10">
      <c r="A444" s="1345" t="s">
        <v>80</v>
      </c>
      <c r="B444" s="1346"/>
      <c r="C444" s="1347"/>
      <c r="D444" s="438" t="s">
        <v>81</v>
      </c>
      <c r="E444" s="438" t="s">
        <v>82</v>
      </c>
      <c r="F444" s="438" t="s">
        <v>83</v>
      </c>
      <c r="G444" s="439" t="s">
        <v>84</v>
      </c>
      <c r="H444" s="457"/>
    </row>
    <row r="445" spans="1:10">
      <c r="A445" s="1357" t="s">
        <v>471</v>
      </c>
      <c r="B445" s="1358"/>
      <c r="C445" s="1359"/>
      <c r="D445" s="459" t="s">
        <v>268</v>
      </c>
      <c r="E445" s="440">
        <v>665</v>
      </c>
      <c r="F445" s="440">
        <v>1</v>
      </c>
      <c r="G445" s="432">
        <f>E445*F445</f>
        <v>665</v>
      </c>
      <c r="H445" s="460"/>
    </row>
    <row r="446" spans="1:10">
      <c r="A446" s="1357"/>
      <c r="B446" s="1358"/>
      <c r="C446" s="1359"/>
      <c r="D446" s="461"/>
      <c r="E446" s="462"/>
      <c r="F446" s="497"/>
      <c r="G446" s="432">
        <f>E446*F446</f>
        <v>0</v>
      </c>
      <c r="H446" s="460"/>
    </row>
    <row r="447" spans="1:10" ht="15.75" thickBot="1">
      <c r="A447" s="1342"/>
      <c r="B447" s="1343"/>
      <c r="C447" s="1344"/>
      <c r="D447" s="464"/>
      <c r="E447" s="433"/>
      <c r="F447" s="434"/>
      <c r="G447" s="441">
        <f>E447*F447</f>
        <v>0</v>
      </c>
      <c r="H447" s="465"/>
    </row>
    <row r="448" spans="1:10" ht="15.75" thickBot="1">
      <c r="A448" s="436"/>
      <c r="B448" s="436"/>
      <c r="C448" s="436"/>
      <c r="D448" s="436"/>
      <c r="E448" s="436"/>
      <c r="F448" s="436"/>
      <c r="G448" s="437" t="s">
        <v>86</v>
      </c>
      <c r="H448" s="466">
        <f>SUM(G445:G447)</f>
        <v>665</v>
      </c>
    </row>
    <row r="449" spans="1:8" ht="15.75" thickBot="1">
      <c r="A449" s="450" t="s">
        <v>87</v>
      </c>
      <c r="B449" s="450"/>
      <c r="C449" s="436"/>
      <c r="D449" s="436"/>
      <c r="E449" s="436"/>
      <c r="F449" s="436"/>
      <c r="G449" s="436"/>
      <c r="H449" s="436"/>
    </row>
    <row r="450" spans="1:8">
      <c r="A450" s="1345" t="s">
        <v>80</v>
      </c>
      <c r="B450" s="1346"/>
      <c r="C450" s="1347"/>
      <c r="D450" s="438" t="s">
        <v>88</v>
      </c>
      <c r="E450" s="438" t="s">
        <v>89</v>
      </c>
      <c r="F450" s="438" t="s">
        <v>90</v>
      </c>
      <c r="G450" s="439" t="s">
        <v>84</v>
      </c>
      <c r="H450" s="457"/>
    </row>
    <row r="451" spans="1:8">
      <c r="A451" s="458" t="s">
        <v>440</v>
      </c>
      <c r="B451" s="467"/>
      <c r="C451" s="468"/>
      <c r="D451" s="459" t="s">
        <v>268</v>
      </c>
      <c r="E451" s="430">
        <v>4402</v>
      </c>
      <c r="F451" s="440">
        <v>0.2</v>
      </c>
      <c r="G451" s="432">
        <f>E451*F451</f>
        <v>880.40000000000009</v>
      </c>
      <c r="H451" s="460"/>
    </row>
    <row r="452" spans="1:8">
      <c r="A452" s="469" t="s">
        <v>441</v>
      </c>
      <c r="B452" s="467"/>
      <c r="C452" s="468"/>
      <c r="D452" s="459" t="s">
        <v>271</v>
      </c>
      <c r="E452" s="430">
        <f>13568/3</f>
        <v>4522.666666666667</v>
      </c>
      <c r="F452" s="440">
        <v>1.05</v>
      </c>
      <c r="G452" s="432">
        <f>E452*F452</f>
        <v>4748.8</v>
      </c>
      <c r="H452" s="460"/>
    </row>
    <row r="453" spans="1:8">
      <c r="A453" s="469" t="s">
        <v>442</v>
      </c>
      <c r="B453" s="467"/>
      <c r="C453" s="471"/>
      <c r="D453" s="459" t="s">
        <v>268</v>
      </c>
      <c r="E453" s="430">
        <v>1398</v>
      </c>
      <c r="F453" s="440">
        <v>0.2</v>
      </c>
      <c r="G453" s="432">
        <f>E453*F453</f>
        <v>279.60000000000002</v>
      </c>
      <c r="H453" s="460"/>
    </row>
    <row r="454" spans="1:8">
      <c r="A454" s="469" t="s">
        <v>681</v>
      </c>
      <c r="B454" s="467"/>
      <c r="C454" s="471"/>
      <c r="D454" s="459" t="s">
        <v>268</v>
      </c>
      <c r="E454" s="430">
        <v>1333</v>
      </c>
      <c r="F454" s="440">
        <v>0.2</v>
      </c>
      <c r="G454" s="432">
        <f>E454*F454</f>
        <v>266.60000000000002</v>
      </c>
      <c r="H454" s="460"/>
    </row>
    <row r="455" spans="1:8">
      <c r="A455" s="469"/>
      <c r="B455" s="467"/>
      <c r="C455" s="468"/>
      <c r="D455" s="459"/>
      <c r="E455" s="430"/>
      <c r="F455" s="431"/>
      <c r="G455" s="432"/>
      <c r="H455" s="460"/>
    </row>
    <row r="456" spans="1:8" ht="15.75" thickBot="1">
      <c r="A456" s="472"/>
      <c r="B456" s="473"/>
      <c r="C456" s="474"/>
      <c r="D456" s="464"/>
      <c r="E456" s="433"/>
      <c r="F456" s="434"/>
      <c r="G456" s="435"/>
      <c r="H456" s="465"/>
    </row>
    <row r="457" spans="1:8" ht="15.75" thickBot="1">
      <c r="A457" s="436"/>
      <c r="B457" s="436"/>
      <c r="C457" s="436"/>
      <c r="D457" s="436"/>
      <c r="E457" s="436"/>
      <c r="F457" s="436"/>
      <c r="G457" s="437" t="s">
        <v>86</v>
      </c>
      <c r="H457" s="466">
        <f>SUM(G451:G456)</f>
        <v>6175.4000000000015</v>
      </c>
    </row>
    <row r="458" spans="1:8" ht="15.75" thickBot="1">
      <c r="A458" s="450" t="s">
        <v>94</v>
      </c>
      <c r="B458" s="450"/>
      <c r="C458" s="436"/>
      <c r="D458" s="436"/>
      <c r="E458" s="436"/>
      <c r="F458" s="436"/>
      <c r="G458" s="436"/>
      <c r="H458" s="436"/>
    </row>
    <row r="459" spans="1:8">
      <c r="A459" s="1345" t="s">
        <v>95</v>
      </c>
      <c r="B459" s="1346"/>
      <c r="C459" s="1347"/>
      <c r="D459" s="438" t="s">
        <v>88</v>
      </c>
      <c r="E459" s="438" t="s">
        <v>89</v>
      </c>
      <c r="F459" s="438" t="s">
        <v>90</v>
      </c>
      <c r="G459" s="439" t="s">
        <v>84</v>
      </c>
      <c r="H459" s="457"/>
    </row>
    <row r="460" spans="1:8">
      <c r="A460" s="458" t="s">
        <v>235</v>
      </c>
      <c r="B460" s="467"/>
      <c r="C460" s="468"/>
      <c r="D460" s="459" t="s">
        <v>271</v>
      </c>
      <c r="E460" s="430">
        <v>1200</v>
      </c>
      <c r="F460" s="440">
        <v>1</v>
      </c>
      <c r="G460" s="432">
        <f>E460*F460</f>
        <v>1200</v>
      </c>
      <c r="H460" s="460"/>
    </row>
    <row r="461" spans="1:8" ht="15.75" thickBot="1">
      <c r="A461" s="1342"/>
      <c r="B461" s="1343"/>
      <c r="C461" s="1344"/>
      <c r="D461" s="475"/>
      <c r="E461" s="433"/>
      <c r="F461" s="434"/>
      <c r="G461" s="441"/>
      <c r="H461" s="460"/>
    </row>
    <row r="462" spans="1:8" ht="15.75" thickBot="1">
      <c r="A462" s="436"/>
      <c r="B462" s="436"/>
      <c r="C462" s="436"/>
      <c r="D462" s="436"/>
      <c r="E462" s="436"/>
      <c r="F462" s="436"/>
      <c r="G462" s="437" t="s">
        <v>86</v>
      </c>
      <c r="H462" s="466">
        <f>SUM(G460:G461)</f>
        <v>1200</v>
      </c>
    </row>
    <row r="463" spans="1:8" ht="15.75" thickBot="1">
      <c r="A463" s="450" t="s">
        <v>96</v>
      </c>
      <c r="B463" s="450"/>
      <c r="C463" s="436"/>
      <c r="D463" s="436"/>
      <c r="E463" s="436"/>
      <c r="F463" s="436"/>
      <c r="G463" s="436"/>
      <c r="H463" s="436"/>
    </row>
    <row r="464" spans="1:8">
      <c r="A464" s="476" t="s">
        <v>97</v>
      </c>
      <c r="B464" s="438"/>
      <c r="C464" s="438" t="s">
        <v>98</v>
      </c>
      <c r="D464" s="438" t="s">
        <v>99</v>
      </c>
      <c r="E464" s="442" t="s">
        <v>100</v>
      </c>
      <c r="F464" s="443" t="s">
        <v>83</v>
      </c>
      <c r="G464" s="444" t="s">
        <v>84</v>
      </c>
      <c r="H464" s="477"/>
    </row>
    <row r="465" spans="1:8">
      <c r="A465" s="478" t="s">
        <v>1109</v>
      </c>
      <c r="B465" s="467"/>
      <c r="C465" s="479">
        <f>PERSONAL!$E$32</f>
        <v>87200</v>
      </c>
      <c r="D465" s="480">
        <f>PERSONAL!$F$31</f>
        <v>1.7431000000000001</v>
      </c>
      <c r="E465" s="440">
        <f>+D465*C465</f>
        <v>151998.32</v>
      </c>
      <c r="F465" s="440">
        <v>22</v>
      </c>
      <c r="G465" s="445">
        <f>ROUND(E465/F465,0)</f>
        <v>6909</v>
      </c>
      <c r="H465" s="451"/>
    </row>
    <row r="466" spans="1:8">
      <c r="A466" s="478"/>
      <c r="B466" s="467"/>
      <c r="C466" s="479"/>
      <c r="D466" s="480"/>
      <c r="E466" s="440"/>
      <c r="F466" s="440"/>
      <c r="G466" s="445"/>
      <c r="H466" s="451"/>
    </row>
    <row r="467" spans="1:8">
      <c r="A467" s="478"/>
      <c r="B467" s="468"/>
      <c r="C467" s="430"/>
      <c r="D467" s="459"/>
      <c r="E467" s="430"/>
      <c r="F467" s="440"/>
      <c r="G467" s="445"/>
      <c r="H467" s="451"/>
    </row>
    <row r="468" spans="1:8">
      <c r="A468" s="478"/>
      <c r="B468" s="468"/>
      <c r="C468" s="430"/>
      <c r="D468" s="459"/>
      <c r="E468" s="430"/>
      <c r="F468" s="440"/>
      <c r="G468" s="445"/>
      <c r="H468" s="451"/>
    </row>
    <row r="469" spans="1:8" ht="15.75" thickBot="1">
      <c r="A469" s="481"/>
      <c r="B469" s="474"/>
      <c r="C469" s="474"/>
      <c r="D469" s="474"/>
      <c r="E469" s="474"/>
      <c r="F469" s="474"/>
      <c r="G469" s="482"/>
      <c r="H469" s="482"/>
    </row>
    <row r="470" spans="1:8" ht="15.75" thickBot="1">
      <c r="A470" s="436"/>
      <c r="B470" s="436"/>
      <c r="C470" s="436"/>
      <c r="D470" s="436"/>
      <c r="E470" s="436"/>
      <c r="F470" s="436"/>
      <c r="G470" s="437" t="s">
        <v>86</v>
      </c>
      <c r="H470" s="466">
        <f>SUM(G465:G469)</f>
        <v>6909</v>
      </c>
    </row>
    <row r="471" spans="1:8" ht="15.75" thickBot="1">
      <c r="A471" s="436"/>
      <c r="B471" s="436"/>
      <c r="C471" s="436"/>
      <c r="D471" s="436"/>
      <c r="E471" s="436"/>
      <c r="F471" s="436"/>
      <c r="G471" s="483"/>
      <c r="H471" s="436"/>
    </row>
    <row r="472" spans="1:8" ht="15.75" thickBot="1">
      <c r="A472" s="436"/>
      <c r="B472" s="436"/>
      <c r="C472" s="436"/>
      <c r="D472" s="436"/>
      <c r="E472" s="484" t="s">
        <v>102</v>
      </c>
      <c r="F472" s="485"/>
      <c r="G472" s="485"/>
      <c r="H472" s="466">
        <f>H448+H457+H462+H470</f>
        <v>14949.400000000001</v>
      </c>
    </row>
    <row r="473" spans="1:8" ht="15.75" thickBot="1">
      <c r="A473" s="450" t="s">
        <v>103</v>
      </c>
      <c r="B473" s="450"/>
      <c r="C473" s="436"/>
      <c r="D473" s="436"/>
      <c r="E473" s="436"/>
      <c r="F473" s="436"/>
      <c r="G473" s="436"/>
      <c r="H473" s="436"/>
    </row>
    <row r="474" spans="1:8">
      <c r="A474" s="487" t="s">
        <v>80</v>
      </c>
      <c r="B474" s="488"/>
      <c r="C474" s="488"/>
      <c r="D474" s="488"/>
      <c r="E474" s="489"/>
      <c r="F474" s="490" t="s">
        <v>104</v>
      </c>
      <c r="G474" s="491" t="s">
        <v>105</v>
      </c>
      <c r="H474" s="457"/>
    </row>
    <row r="475" spans="1:8">
      <c r="A475" s="469" t="s">
        <v>106</v>
      </c>
      <c r="B475" s="467"/>
      <c r="C475" s="467"/>
      <c r="D475" s="467"/>
      <c r="E475" s="468"/>
      <c r="F475" s="492">
        <f>PRESUPUESTO!$E$222</f>
        <v>0.109</v>
      </c>
      <c r="G475" s="493">
        <f>+F475*H472</f>
        <v>1629.4846000000002</v>
      </c>
      <c r="H475" s="460"/>
    </row>
    <row r="476" spans="1:8">
      <c r="A476" s="469" t="s">
        <v>107</v>
      </c>
      <c r="B476" s="467"/>
      <c r="C476" s="467"/>
      <c r="D476" s="467"/>
      <c r="E476" s="468"/>
      <c r="F476" s="492">
        <f>PRESUPUESTO!$E$223</f>
        <v>0.05</v>
      </c>
      <c r="G476" s="493">
        <f>+F476*H472</f>
        <v>747.47000000000014</v>
      </c>
      <c r="H476" s="460"/>
    </row>
    <row r="477" spans="1:8" ht="15.75" thickBot="1">
      <c r="A477" s="472" t="s">
        <v>108</v>
      </c>
      <c r="B477" s="473"/>
      <c r="C477" s="473"/>
      <c r="D477" s="473"/>
      <c r="E477" s="474"/>
      <c r="F477" s="494">
        <v>0</v>
      </c>
      <c r="G477" s="495">
        <f>+F477*H472</f>
        <v>0</v>
      </c>
      <c r="H477" s="465"/>
    </row>
    <row r="478" spans="1:8" ht="15.75" thickBot="1">
      <c r="A478" s="436"/>
      <c r="B478" s="436"/>
      <c r="C478" s="436"/>
      <c r="D478" s="436"/>
      <c r="E478" s="436"/>
      <c r="F478" s="436"/>
      <c r="G478" s="437" t="s">
        <v>86</v>
      </c>
      <c r="H478" s="496">
        <f>SUM(G475:G477)</f>
        <v>2376.9546000000005</v>
      </c>
    </row>
    <row r="479" spans="1:8" ht="15.75" thickBot="1">
      <c r="A479" s="436"/>
      <c r="B479" s="436"/>
      <c r="C479" s="436"/>
      <c r="D479" s="436"/>
      <c r="E479" s="436"/>
      <c r="F479" s="436"/>
      <c r="G479" s="436"/>
      <c r="H479" s="436"/>
    </row>
    <row r="480" spans="1:8" ht="15.75" thickBot="1">
      <c r="A480" s="446"/>
      <c r="B480" s="446"/>
      <c r="C480" s="436"/>
      <c r="D480" s="484" t="s">
        <v>109</v>
      </c>
      <c r="E480" s="485"/>
      <c r="F480" s="485"/>
      <c r="G480" s="485"/>
      <c r="H480" s="466">
        <f>ROUND((H472+H478),0)</f>
        <v>17326</v>
      </c>
    </row>
    <row r="482" spans="1:10">
      <c r="A482" s="186" t="s">
        <v>77</v>
      </c>
      <c r="B482" s="446"/>
      <c r="C482" s="446"/>
      <c r="D482" s="446"/>
      <c r="E482" s="446"/>
      <c r="F482" s="446"/>
      <c r="G482" s="446"/>
      <c r="H482" s="446"/>
    </row>
    <row r="483" spans="1:10" ht="15.75" thickBot="1">
      <c r="A483" s="446"/>
      <c r="B483" s="446"/>
      <c r="C483" s="446"/>
      <c r="D483" s="446"/>
      <c r="E483" s="446"/>
      <c r="F483" s="446"/>
      <c r="G483" s="446"/>
      <c r="H483" s="446"/>
    </row>
    <row r="484" spans="1:10">
      <c r="A484" s="1348" t="s">
        <v>213</v>
      </c>
      <c r="B484" s="1349"/>
      <c r="C484" s="1350"/>
      <c r="D484" s="448"/>
      <c r="E484" s="448"/>
      <c r="F484" s="448"/>
      <c r="G484" s="448"/>
      <c r="H484" s="449"/>
    </row>
    <row r="485" spans="1:10">
      <c r="A485" s="1351"/>
      <c r="B485" s="1352"/>
      <c r="C485" s="1353"/>
      <c r="D485" s="436"/>
      <c r="E485" s="450" t="s">
        <v>78</v>
      </c>
      <c r="F485" s="436"/>
      <c r="G485" s="436"/>
      <c r="H485" s="451"/>
    </row>
    <row r="486" spans="1:10" ht="15.75" thickBot="1">
      <c r="A486" s="1354"/>
      <c r="B486" s="1355"/>
      <c r="C486" s="1356"/>
      <c r="D486" s="1360"/>
      <c r="E486" s="1361"/>
      <c r="F486" s="1361"/>
      <c r="G486" s="1361"/>
      <c r="H486" s="1362"/>
    </row>
    <row r="487" spans="1:10">
      <c r="A487" s="455"/>
      <c r="B487" s="436"/>
      <c r="C487" s="436"/>
      <c r="D487" s="436"/>
      <c r="E487" s="436"/>
      <c r="F487" s="436"/>
      <c r="G487" s="436"/>
      <c r="H487" s="436"/>
    </row>
    <row r="488" spans="1:10" s="446" customFormat="1" ht="12.75">
      <c r="A488" s="455" t="s">
        <v>1146</v>
      </c>
      <c r="B488" s="456" t="str">
        <f>+PRESUPUESTO!$B$70</f>
        <v>INSTALACIONES ELÉCTRICAS</v>
      </c>
      <c r="C488" s="436"/>
      <c r="E488" s="456"/>
      <c r="G488" s="456" t="s">
        <v>1123</v>
      </c>
      <c r="H488" s="483" t="s">
        <v>1174</v>
      </c>
      <c r="I488" s="436"/>
      <c r="J488" s="436"/>
    </row>
    <row r="489" spans="1:10" s="931" customFormat="1" ht="52.15" customHeight="1">
      <c r="A489" s="928" t="s">
        <v>1122</v>
      </c>
      <c r="B489" s="1375" t="str">
        <f>VLOOKUP(H488,PRESUPUESTO!$A$18:$F$251,2,FALSE)</f>
        <v>Suministro,Transporte e Instalacion de Luminaria ZEUS-60W,4K en poste metalico de 3,5m</v>
      </c>
      <c r="C489" s="1375"/>
      <c r="D489" s="1375"/>
      <c r="E489" s="1375"/>
      <c r="F489" s="1375"/>
      <c r="G489" s="929" t="s">
        <v>9</v>
      </c>
      <c r="H489" s="1024" t="str">
        <f>VLOOKUP(H488,PRESUPUESTO!$A$18:$F$251,3,FALSE)</f>
        <v>un</v>
      </c>
    </row>
    <row r="490" spans="1:10">
      <c r="A490" s="456"/>
      <c r="B490" s="456"/>
      <c r="C490" s="436"/>
      <c r="D490" s="456"/>
      <c r="E490" s="456"/>
      <c r="F490" s="456"/>
      <c r="G490" s="456"/>
      <c r="H490" s="436"/>
    </row>
    <row r="491" spans="1:10" ht="15.75" thickBot="1">
      <c r="A491" s="450" t="s">
        <v>79</v>
      </c>
      <c r="B491" s="450"/>
      <c r="C491" s="436"/>
      <c r="D491" s="436"/>
      <c r="E491" s="436"/>
      <c r="F491" s="436"/>
      <c r="G491" s="436"/>
      <c r="H491" s="436"/>
    </row>
    <row r="492" spans="1:10">
      <c r="A492" s="1345" t="s">
        <v>80</v>
      </c>
      <c r="B492" s="1346"/>
      <c r="C492" s="1347"/>
      <c r="D492" s="438" t="s">
        <v>81</v>
      </c>
      <c r="E492" s="438" t="s">
        <v>82</v>
      </c>
      <c r="F492" s="438" t="s">
        <v>83</v>
      </c>
      <c r="G492" s="439" t="s">
        <v>84</v>
      </c>
      <c r="H492" s="457"/>
    </row>
    <row r="493" spans="1:10">
      <c r="A493" s="1357" t="s">
        <v>471</v>
      </c>
      <c r="B493" s="1358"/>
      <c r="C493" s="1359"/>
      <c r="D493" s="459" t="s">
        <v>268</v>
      </c>
      <c r="E493" s="440">
        <f>+H521</f>
        <v>273318</v>
      </c>
      <c r="F493" s="440">
        <v>0.05</v>
      </c>
      <c r="G493" s="432">
        <f>E493*F493</f>
        <v>13665.900000000001</v>
      </c>
      <c r="H493" s="460"/>
    </row>
    <row r="494" spans="1:10">
      <c r="A494" s="1357" t="s">
        <v>682</v>
      </c>
      <c r="B494" s="1358"/>
      <c r="C494" s="1359"/>
      <c r="D494" s="461" t="s">
        <v>680</v>
      </c>
      <c r="E494" s="462">
        <v>14000</v>
      </c>
      <c r="F494" s="497">
        <f>2/F516</f>
        <v>2</v>
      </c>
      <c r="G494" s="432">
        <f>E494*F494</f>
        <v>28000</v>
      </c>
      <c r="H494" s="460"/>
    </row>
    <row r="495" spans="1:10" s="446" customFormat="1" ht="12.75">
      <c r="A495" s="1376" t="s">
        <v>694</v>
      </c>
      <c r="B495" s="1377"/>
      <c r="C495" s="1378"/>
      <c r="D495" s="777" t="s">
        <v>1084</v>
      </c>
      <c r="E495" s="1012">
        <f>20750*1.19</f>
        <v>24692.5</v>
      </c>
      <c r="F495" s="779">
        <f>+F494</f>
        <v>2</v>
      </c>
      <c r="G495" s="780">
        <f>+E495/F495</f>
        <v>12346.25</v>
      </c>
      <c r="H495" s="776"/>
    </row>
    <row r="496" spans="1:10" ht="15.75" thickBot="1">
      <c r="A496" s="1342"/>
      <c r="B496" s="1343"/>
      <c r="C496" s="1344"/>
      <c r="D496" s="464"/>
      <c r="E496" s="433"/>
      <c r="F496" s="434"/>
      <c r="G496" s="441">
        <f>E496*F496</f>
        <v>0</v>
      </c>
      <c r="H496" s="465"/>
    </row>
    <row r="497" spans="1:8" ht="15.75" thickBot="1">
      <c r="A497" s="436"/>
      <c r="B497" s="436"/>
      <c r="C497" s="436"/>
      <c r="D497" s="436"/>
      <c r="E497" s="436"/>
      <c r="F497" s="436"/>
      <c r="G497" s="437" t="s">
        <v>86</v>
      </c>
      <c r="H497" s="466">
        <f>SUM(G493:G496)</f>
        <v>54012.15</v>
      </c>
    </row>
    <row r="498" spans="1:8" ht="15.75" thickBot="1">
      <c r="A498" s="450" t="s">
        <v>87</v>
      </c>
      <c r="B498" s="450"/>
      <c r="C498" s="436"/>
      <c r="D498" s="436"/>
      <c r="E498" s="436"/>
      <c r="F498" s="436"/>
      <c r="G498" s="436"/>
      <c r="H498" s="436"/>
    </row>
    <row r="499" spans="1:8">
      <c r="A499" s="1345" t="s">
        <v>80</v>
      </c>
      <c r="B499" s="1346"/>
      <c r="C499" s="1347"/>
      <c r="D499" s="438" t="s">
        <v>88</v>
      </c>
      <c r="E499" s="438" t="s">
        <v>89</v>
      </c>
      <c r="F499" s="438" t="s">
        <v>90</v>
      </c>
      <c r="G499" s="439" t="s">
        <v>84</v>
      </c>
      <c r="H499" s="457"/>
    </row>
    <row r="500" spans="1:8" ht="15" customHeight="1">
      <c r="A500" s="1384" t="s">
        <v>478</v>
      </c>
      <c r="B500" s="1384"/>
      <c r="C500" s="1385"/>
      <c r="D500" s="1392" t="s">
        <v>268</v>
      </c>
      <c r="E500" s="1399">
        <f>776000*1.19</f>
        <v>923440</v>
      </c>
      <c r="F500" s="1401">
        <v>1</v>
      </c>
      <c r="G500" s="1396">
        <f>E500*F500</f>
        <v>923440</v>
      </c>
      <c r="H500" s="460"/>
    </row>
    <row r="501" spans="1:8">
      <c r="A501" s="1390"/>
      <c r="B501" s="1390"/>
      <c r="C501" s="1391"/>
      <c r="D501" s="1398"/>
      <c r="E501" s="1400"/>
      <c r="F501" s="1402"/>
      <c r="G501" s="1397"/>
      <c r="H501" s="460"/>
    </row>
    <row r="502" spans="1:8" ht="15" customHeight="1">
      <c r="A502" s="1383" t="s">
        <v>480</v>
      </c>
      <c r="B502" s="1384"/>
      <c r="C502" s="1385"/>
      <c r="D502" s="1392" t="s">
        <v>268</v>
      </c>
      <c r="E502" s="1408">
        <f>401000*1.19</f>
        <v>477190</v>
      </c>
      <c r="F502" s="1405">
        <v>1</v>
      </c>
      <c r="G502" s="1396">
        <f>(F502)*E502</f>
        <v>477190</v>
      </c>
      <c r="H502" s="460"/>
    </row>
    <row r="503" spans="1:8">
      <c r="A503" s="1386"/>
      <c r="B503" s="1387"/>
      <c r="C503" s="1388"/>
      <c r="D503" s="1393"/>
      <c r="E503" s="1409"/>
      <c r="F503" s="1406"/>
      <c r="G503" s="1407"/>
      <c r="H503" s="460"/>
    </row>
    <row r="504" spans="1:8">
      <c r="A504" s="1389"/>
      <c r="B504" s="1390"/>
      <c r="C504" s="1391"/>
      <c r="D504" s="1398"/>
      <c r="E504" s="1410"/>
      <c r="F504" s="1411"/>
      <c r="G504" s="1397"/>
      <c r="H504" s="460"/>
    </row>
    <row r="505" spans="1:8">
      <c r="A505" s="1383" t="s">
        <v>482</v>
      </c>
      <c r="B505" s="1384"/>
      <c r="C505" s="1385"/>
      <c r="D505" s="1392" t="s">
        <v>268</v>
      </c>
      <c r="E505" s="1403">
        <f>53200*1.15</f>
        <v>61179.999999999993</v>
      </c>
      <c r="F505" s="1405">
        <v>1</v>
      </c>
      <c r="G505" s="1396">
        <f>(F505)*E505</f>
        <v>61179.999999999993</v>
      </c>
      <c r="H505" s="460"/>
    </row>
    <row r="506" spans="1:8">
      <c r="A506" s="1389"/>
      <c r="B506" s="1390"/>
      <c r="C506" s="1391"/>
      <c r="D506" s="1393"/>
      <c r="E506" s="1404"/>
      <c r="F506" s="1406"/>
      <c r="G506" s="1407"/>
      <c r="H506" s="460"/>
    </row>
    <row r="507" spans="1:8" ht="15.75" thickBot="1">
      <c r="A507" s="472"/>
      <c r="B507" s="473"/>
      <c r="C507" s="474"/>
      <c r="D507" s="464"/>
      <c r="E507" s="433"/>
      <c r="F507" s="434"/>
      <c r="G507" s="435"/>
      <c r="H507" s="465"/>
    </row>
    <row r="508" spans="1:8" ht="15.75" thickBot="1">
      <c r="A508" s="436"/>
      <c r="B508" s="436"/>
      <c r="C508" s="436"/>
      <c r="D508" s="436"/>
      <c r="E508" s="436"/>
      <c r="F508" s="436"/>
      <c r="G508" s="437" t="s">
        <v>86</v>
      </c>
      <c r="H508" s="466">
        <f>SUM(G500:G507)</f>
        <v>1461810</v>
      </c>
    </row>
    <row r="509" spans="1:8" ht="15.75" thickBot="1">
      <c r="A509" s="450" t="s">
        <v>94</v>
      </c>
      <c r="B509" s="450"/>
      <c r="C509" s="436"/>
      <c r="D509" s="436"/>
      <c r="E509" s="436"/>
      <c r="F509" s="436"/>
      <c r="G509" s="436"/>
      <c r="H509" s="436"/>
    </row>
    <row r="510" spans="1:8">
      <c r="A510" s="1345" t="s">
        <v>95</v>
      </c>
      <c r="B510" s="1346"/>
      <c r="C510" s="1347"/>
      <c r="D510" s="438" t="s">
        <v>88</v>
      </c>
      <c r="E510" s="438" t="s">
        <v>89</v>
      </c>
      <c r="F510" s="438" t="s">
        <v>90</v>
      </c>
      <c r="G510" s="439" t="s">
        <v>84</v>
      </c>
      <c r="H510" s="457"/>
    </row>
    <row r="511" spans="1:8">
      <c r="A511" s="458" t="s">
        <v>235</v>
      </c>
      <c r="B511" s="467"/>
      <c r="C511" s="468"/>
      <c r="D511" s="459" t="s">
        <v>268</v>
      </c>
      <c r="E511" s="430">
        <v>45000</v>
      </c>
      <c r="F511" s="440">
        <v>1</v>
      </c>
      <c r="G511" s="432">
        <f>E511*F511</f>
        <v>45000</v>
      </c>
      <c r="H511" s="460"/>
    </row>
    <row r="512" spans="1:8" ht="15.75" thickBot="1">
      <c r="A512" s="1342"/>
      <c r="B512" s="1343"/>
      <c r="C512" s="1344"/>
      <c r="D512" s="475"/>
      <c r="E512" s="433"/>
      <c r="F512" s="434"/>
      <c r="G512" s="441"/>
      <c r="H512" s="460"/>
    </row>
    <row r="513" spans="1:10" ht="15.75" thickBot="1">
      <c r="A513" s="436"/>
      <c r="B513" s="436"/>
      <c r="C513" s="436"/>
      <c r="D513" s="436"/>
      <c r="E513" s="436"/>
      <c r="F513" s="436"/>
      <c r="G513" s="437" t="s">
        <v>86</v>
      </c>
      <c r="H513" s="466">
        <f>SUM(G511:G512)</f>
        <v>45000</v>
      </c>
    </row>
    <row r="514" spans="1:10" ht="15.75" thickBot="1">
      <c r="A514" s="450" t="s">
        <v>96</v>
      </c>
      <c r="B514" s="450"/>
      <c r="C514" s="436"/>
      <c r="D514" s="436"/>
      <c r="E514" s="436"/>
      <c r="F514" s="436"/>
      <c r="G514" s="436"/>
      <c r="H514" s="436"/>
    </row>
    <row r="515" spans="1:10">
      <c r="A515" s="476" t="s">
        <v>97</v>
      </c>
      <c r="B515" s="438"/>
      <c r="C515" s="438" t="s">
        <v>98</v>
      </c>
      <c r="D515" s="438" t="s">
        <v>99</v>
      </c>
      <c r="E515" s="442" t="s">
        <v>100</v>
      </c>
      <c r="F515" s="443" t="s">
        <v>83</v>
      </c>
      <c r="G515" s="444" t="s">
        <v>84</v>
      </c>
      <c r="H515" s="477"/>
    </row>
    <row r="516" spans="1:10">
      <c r="A516" s="478" t="s">
        <v>1109</v>
      </c>
      <c r="B516" s="467"/>
      <c r="C516" s="479">
        <f>+PERSONAL!$E$34</f>
        <v>100000</v>
      </c>
      <c r="D516" s="480">
        <f>PERSONAL!$F$31</f>
        <v>1.7431000000000001</v>
      </c>
      <c r="E516" s="440">
        <f>+D516*C516</f>
        <v>174310</v>
      </c>
      <c r="F516" s="440">
        <v>1</v>
      </c>
      <c r="G516" s="445">
        <f>ROUND(E516/F516,0)</f>
        <v>174310</v>
      </c>
      <c r="H516" s="451"/>
    </row>
    <row r="517" spans="1:10">
      <c r="A517" s="478" t="s">
        <v>1110</v>
      </c>
      <c r="B517" s="467"/>
      <c r="C517" s="479">
        <f>+PERSONAL!$E$33</f>
        <v>56800</v>
      </c>
      <c r="D517" s="480">
        <f>PERSONAL!$F$31</f>
        <v>1.7431000000000001</v>
      </c>
      <c r="E517" s="440">
        <f>+D517*C517</f>
        <v>99008.08</v>
      </c>
      <c r="F517" s="440">
        <v>1</v>
      </c>
      <c r="G517" s="445">
        <f>ROUND(E517/F517,0)</f>
        <v>99008</v>
      </c>
      <c r="H517" s="451"/>
    </row>
    <row r="518" spans="1:10">
      <c r="A518" s="478"/>
      <c r="B518" s="468"/>
      <c r="C518" s="430"/>
      <c r="D518" s="459"/>
      <c r="E518" s="430"/>
      <c r="F518" s="440"/>
      <c r="G518" s="445"/>
      <c r="H518" s="451"/>
    </row>
    <row r="519" spans="1:10">
      <c r="A519" s="478"/>
      <c r="B519" s="468"/>
      <c r="C519" s="430"/>
      <c r="D519" s="459"/>
      <c r="E519" s="430"/>
      <c r="F519" s="440"/>
      <c r="G519" s="445"/>
      <c r="H519" s="451"/>
    </row>
    <row r="520" spans="1:10" ht="15.75" thickBot="1">
      <c r="A520" s="481"/>
      <c r="B520" s="474"/>
      <c r="C520" s="474"/>
      <c r="D520" s="474"/>
      <c r="E520" s="474"/>
      <c r="F520" s="474"/>
      <c r="G520" s="482"/>
      <c r="H520" s="482"/>
    </row>
    <row r="521" spans="1:10" ht="15.75" thickBot="1">
      <c r="A521" s="436"/>
      <c r="B521" s="436"/>
      <c r="C521" s="436"/>
      <c r="D521" s="436"/>
      <c r="E521" s="436"/>
      <c r="F521" s="436"/>
      <c r="G521" s="437" t="s">
        <v>86</v>
      </c>
      <c r="H521" s="466">
        <f>SUM(G516:G520)</f>
        <v>273318</v>
      </c>
    </row>
    <row r="522" spans="1:10" ht="15.75" thickBot="1">
      <c r="A522" s="436"/>
      <c r="B522" s="436"/>
      <c r="C522" s="436"/>
      <c r="D522" s="436"/>
      <c r="E522" s="436"/>
      <c r="F522" s="436"/>
      <c r="G522" s="483"/>
      <c r="H522" s="436"/>
    </row>
    <row r="523" spans="1:10" ht="15.75" thickBot="1">
      <c r="A523" s="436"/>
      <c r="B523" s="436"/>
      <c r="C523" s="436"/>
      <c r="D523" s="436"/>
      <c r="E523" s="484" t="s">
        <v>102</v>
      </c>
      <c r="F523" s="485"/>
      <c r="G523" s="485"/>
      <c r="H523" s="466">
        <f>H497+H508+H513+H521</f>
        <v>1834140.15</v>
      </c>
      <c r="J523" s="486"/>
    </row>
    <row r="524" spans="1:10" ht="15.75" thickBot="1">
      <c r="A524" s="450" t="s">
        <v>103</v>
      </c>
      <c r="B524" s="450"/>
      <c r="C524" s="436"/>
      <c r="D524" s="436"/>
      <c r="E524" s="436"/>
      <c r="F524" s="436"/>
      <c r="G524" s="436"/>
      <c r="H524" s="436"/>
    </row>
    <row r="525" spans="1:10">
      <c r="A525" s="487" t="s">
        <v>80</v>
      </c>
      <c r="B525" s="488"/>
      <c r="C525" s="488"/>
      <c r="D525" s="488"/>
      <c r="E525" s="489"/>
      <c r="F525" s="490" t="s">
        <v>104</v>
      </c>
      <c r="G525" s="491" t="s">
        <v>105</v>
      </c>
      <c r="H525" s="457"/>
    </row>
    <row r="526" spans="1:10">
      <c r="A526" s="469" t="s">
        <v>106</v>
      </c>
      <c r="B526" s="467"/>
      <c r="C526" s="467"/>
      <c r="D526" s="467"/>
      <c r="E526" s="468"/>
      <c r="F526" s="492">
        <f>PRESUPUESTO!$E$222</f>
        <v>0.109</v>
      </c>
      <c r="G526" s="493">
        <f>+F526*H523</f>
        <v>199921.27635</v>
      </c>
      <c r="H526" s="460"/>
    </row>
    <row r="527" spans="1:10">
      <c r="A527" s="469" t="s">
        <v>107</v>
      </c>
      <c r="B527" s="467"/>
      <c r="C527" s="467"/>
      <c r="D527" s="467"/>
      <c r="E527" s="468"/>
      <c r="F527" s="492">
        <f>PRESUPUESTO!$E$223</f>
        <v>0.05</v>
      </c>
      <c r="G527" s="493">
        <f>+F527*H523</f>
        <v>91707.007500000007</v>
      </c>
      <c r="H527" s="460"/>
    </row>
    <row r="528" spans="1:10" ht="15.75" thickBot="1">
      <c r="A528" s="472" t="s">
        <v>108</v>
      </c>
      <c r="B528" s="473"/>
      <c r="C528" s="473"/>
      <c r="D528" s="473"/>
      <c r="E528" s="474"/>
      <c r="F528" s="494">
        <v>0</v>
      </c>
      <c r="G528" s="495">
        <f>+F528*H523</f>
        <v>0</v>
      </c>
      <c r="H528" s="465"/>
    </row>
    <row r="529" spans="1:10" ht="15.75" thickBot="1">
      <c r="A529" s="436"/>
      <c r="B529" s="436"/>
      <c r="C529" s="436"/>
      <c r="D529" s="436"/>
      <c r="E529" s="436"/>
      <c r="F529" s="436"/>
      <c r="G529" s="437" t="s">
        <v>86</v>
      </c>
      <c r="H529" s="496">
        <f>SUM(G526:G528)</f>
        <v>291628.28385000001</v>
      </c>
    </row>
    <row r="530" spans="1:10" ht="15.75" thickBot="1">
      <c r="A530" s="436"/>
      <c r="B530" s="436"/>
      <c r="C530" s="436"/>
      <c r="D530" s="436"/>
      <c r="E530" s="436"/>
      <c r="F530" s="436"/>
      <c r="G530" s="436"/>
      <c r="H530" s="436"/>
    </row>
    <row r="531" spans="1:10" ht="15.75" thickBot="1">
      <c r="A531" s="446"/>
      <c r="B531" s="446"/>
      <c r="C531" s="436"/>
      <c r="D531" s="484" t="s">
        <v>109</v>
      </c>
      <c r="E531" s="485"/>
      <c r="F531" s="485"/>
      <c r="G531" s="485"/>
      <c r="H531" s="466">
        <f>ROUND((H523+H529),0)</f>
        <v>2125768</v>
      </c>
    </row>
    <row r="532" spans="1:10">
      <c r="A532" s="446"/>
      <c r="B532" s="446"/>
      <c r="C532" s="446"/>
      <c r="D532" s="446"/>
      <c r="E532" s="446"/>
      <c r="F532" s="446"/>
      <c r="G532" s="446"/>
      <c r="H532" s="446"/>
    </row>
    <row r="533" spans="1:10">
      <c r="A533" s="186" t="s">
        <v>77</v>
      </c>
      <c r="B533" s="446"/>
      <c r="C533" s="446"/>
      <c r="D533" s="446"/>
      <c r="E533" s="446"/>
      <c r="F533" s="446"/>
      <c r="G533" s="446"/>
      <c r="H533" s="446"/>
    </row>
    <row r="534" spans="1:10" ht="15.75" thickBot="1">
      <c r="A534" s="446"/>
      <c r="B534" s="446"/>
      <c r="C534" s="446"/>
      <c r="D534" s="446"/>
      <c r="E534" s="446"/>
      <c r="F534" s="446"/>
      <c r="G534" s="446"/>
      <c r="H534" s="446"/>
    </row>
    <row r="535" spans="1:10">
      <c r="A535" s="1348" t="s">
        <v>213</v>
      </c>
      <c r="B535" s="1349"/>
      <c r="C535" s="1350"/>
      <c r="D535" s="448"/>
      <c r="E535" s="448"/>
      <c r="F535" s="448"/>
      <c r="G535" s="448"/>
      <c r="H535" s="449"/>
    </row>
    <row r="536" spans="1:10">
      <c r="A536" s="1351"/>
      <c r="B536" s="1352"/>
      <c r="C536" s="1353"/>
      <c r="D536" s="436"/>
      <c r="E536" s="450" t="s">
        <v>78</v>
      </c>
      <c r="F536" s="436"/>
      <c r="G536" s="436"/>
      <c r="H536" s="451"/>
    </row>
    <row r="537" spans="1:10" ht="15.75" thickBot="1">
      <c r="A537" s="1354"/>
      <c r="B537" s="1355"/>
      <c r="C537" s="1356"/>
      <c r="D537" s="1360"/>
      <c r="E537" s="1361"/>
      <c r="F537" s="1361"/>
      <c r="G537" s="1361"/>
      <c r="H537" s="1362"/>
    </row>
    <row r="538" spans="1:10">
      <c r="A538" s="455"/>
      <c r="B538" s="436"/>
      <c r="C538" s="436"/>
      <c r="D538" s="436"/>
      <c r="E538" s="436"/>
      <c r="F538" s="436"/>
      <c r="G538" s="436"/>
      <c r="H538" s="436"/>
    </row>
    <row r="539" spans="1:10" s="446" customFormat="1" ht="12.75">
      <c r="A539" s="455" t="s">
        <v>1146</v>
      </c>
      <c r="B539" s="456" t="str">
        <f>+PRESUPUESTO!$B$70</f>
        <v>INSTALACIONES ELÉCTRICAS</v>
      </c>
      <c r="C539" s="436"/>
      <c r="E539" s="456"/>
      <c r="G539" s="456" t="s">
        <v>1123</v>
      </c>
      <c r="H539" s="483" t="s">
        <v>1175</v>
      </c>
      <c r="I539" s="436"/>
      <c r="J539" s="436"/>
    </row>
    <row r="540" spans="1:10" s="931" customFormat="1" ht="52.15" customHeight="1">
      <c r="A540" s="928" t="s">
        <v>1122</v>
      </c>
      <c r="B540" s="1375" t="str">
        <f>VLOOKUP(H539,PRESUPUESTO!$A$18:$F$251,2,FALSE)</f>
        <v>Suministro,Transporte e Instalacion de Luminaria ZEUS-60W,4K en poste metalico de 2,5m</v>
      </c>
      <c r="C540" s="1375"/>
      <c r="D540" s="1375"/>
      <c r="E540" s="1375"/>
      <c r="F540" s="1375"/>
      <c r="G540" s="929" t="s">
        <v>9</v>
      </c>
      <c r="H540" s="1024" t="str">
        <f>VLOOKUP(H539,PRESUPUESTO!$A$18:$F$251,3,FALSE)</f>
        <v>un</v>
      </c>
    </row>
    <row r="541" spans="1:10">
      <c r="A541" s="456"/>
      <c r="B541" s="456"/>
      <c r="C541" s="436"/>
      <c r="D541" s="456"/>
      <c r="E541" s="456"/>
      <c r="F541" s="456"/>
      <c r="G541" s="456"/>
      <c r="H541" s="436"/>
    </row>
    <row r="542" spans="1:10" ht="15.75" thickBot="1">
      <c r="A542" s="450" t="s">
        <v>79</v>
      </c>
      <c r="B542" s="450"/>
      <c r="C542" s="436"/>
      <c r="D542" s="436"/>
      <c r="E542" s="436"/>
      <c r="F542" s="436"/>
      <c r="G542" s="436"/>
      <c r="H542" s="436"/>
    </row>
    <row r="543" spans="1:10">
      <c r="A543" s="1345" t="s">
        <v>80</v>
      </c>
      <c r="B543" s="1346"/>
      <c r="C543" s="1347"/>
      <c r="D543" s="438" t="s">
        <v>81</v>
      </c>
      <c r="E543" s="438" t="s">
        <v>82</v>
      </c>
      <c r="F543" s="438" t="s">
        <v>83</v>
      </c>
      <c r="G543" s="439" t="s">
        <v>84</v>
      </c>
      <c r="H543" s="457"/>
    </row>
    <row r="544" spans="1:10">
      <c r="A544" s="1357" t="s">
        <v>471</v>
      </c>
      <c r="B544" s="1358"/>
      <c r="C544" s="1359"/>
      <c r="D544" s="459" t="s">
        <v>268</v>
      </c>
      <c r="E544" s="440">
        <f>+H572</f>
        <v>273318</v>
      </c>
      <c r="F544" s="440">
        <v>0.05</v>
      </c>
      <c r="G544" s="432">
        <f>E544*F544</f>
        <v>13665.900000000001</v>
      </c>
      <c r="H544" s="460"/>
    </row>
    <row r="545" spans="1:8">
      <c r="A545" s="1357" t="s">
        <v>682</v>
      </c>
      <c r="B545" s="1358"/>
      <c r="C545" s="1359"/>
      <c r="D545" s="461" t="s">
        <v>680</v>
      </c>
      <c r="E545" s="462">
        <v>14000</v>
      </c>
      <c r="F545" s="497">
        <f>2/F567</f>
        <v>2</v>
      </c>
      <c r="G545" s="432">
        <f>E545*F545</f>
        <v>28000</v>
      </c>
      <c r="H545" s="460"/>
    </row>
    <row r="546" spans="1:8" s="446" customFormat="1" ht="12.75">
      <c r="A546" s="1376" t="s">
        <v>694</v>
      </c>
      <c r="B546" s="1377"/>
      <c r="C546" s="1378"/>
      <c r="D546" s="777" t="s">
        <v>1084</v>
      </c>
      <c r="E546" s="1012">
        <f>20750*1.19</f>
        <v>24692.5</v>
      </c>
      <c r="F546" s="779">
        <f>+F545</f>
        <v>2</v>
      </c>
      <c r="G546" s="780">
        <f>+E546/F546</f>
        <v>12346.25</v>
      </c>
      <c r="H546" s="776"/>
    </row>
    <row r="547" spans="1:8" ht="15.75" thickBot="1">
      <c r="A547" s="1342"/>
      <c r="B547" s="1343"/>
      <c r="C547" s="1344"/>
      <c r="D547" s="464"/>
      <c r="E547" s="433"/>
      <c r="F547" s="434"/>
      <c r="G547" s="441">
        <f>E547*F547</f>
        <v>0</v>
      </c>
      <c r="H547" s="465"/>
    </row>
    <row r="548" spans="1:8" ht="15.75" thickBot="1">
      <c r="A548" s="436"/>
      <c r="B548" s="436"/>
      <c r="C548" s="436"/>
      <c r="D548" s="436"/>
      <c r="E548" s="436"/>
      <c r="F548" s="436"/>
      <c r="G548" s="437" t="s">
        <v>86</v>
      </c>
      <c r="H548" s="466">
        <f>SUM(G544:G547)</f>
        <v>54012.15</v>
      </c>
    </row>
    <row r="549" spans="1:8" ht="15.75" thickBot="1">
      <c r="A549" s="450" t="s">
        <v>87</v>
      </c>
      <c r="B549" s="450"/>
      <c r="C549" s="436"/>
      <c r="D549" s="436"/>
      <c r="E549" s="436"/>
      <c r="F549" s="436"/>
      <c r="G549" s="436"/>
      <c r="H549" s="436"/>
    </row>
    <row r="550" spans="1:8">
      <c r="A550" s="1345" t="s">
        <v>80</v>
      </c>
      <c r="B550" s="1346"/>
      <c r="C550" s="1347"/>
      <c r="D550" s="438" t="s">
        <v>88</v>
      </c>
      <c r="E550" s="438" t="s">
        <v>89</v>
      </c>
      <c r="F550" s="438" t="s">
        <v>90</v>
      </c>
      <c r="G550" s="439" t="s">
        <v>84</v>
      </c>
      <c r="H550" s="457"/>
    </row>
    <row r="551" spans="1:8">
      <c r="A551" s="1384" t="s">
        <v>478</v>
      </c>
      <c r="B551" s="1384"/>
      <c r="C551" s="1385"/>
      <c r="D551" s="1392" t="s">
        <v>268</v>
      </c>
      <c r="E551" s="1399">
        <f>776000*1.19</f>
        <v>923440</v>
      </c>
      <c r="F551" s="1401">
        <v>1</v>
      </c>
      <c r="G551" s="1396">
        <f>E551*F551</f>
        <v>923440</v>
      </c>
      <c r="H551" s="460"/>
    </row>
    <row r="552" spans="1:8">
      <c r="A552" s="1390"/>
      <c r="B552" s="1390"/>
      <c r="C552" s="1391"/>
      <c r="D552" s="1398"/>
      <c r="E552" s="1400"/>
      <c r="F552" s="1402"/>
      <c r="G552" s="1397"/>
      <c r="H552" s="460"/>
    </row>
    <row r="553" spans="1:8">
      <c r="A553" s="1383" t="s">
        <v>479</v>
      </c>
      <c r="B553" s="1384"/>
      <c r="C553" s="1385"/>
      <c r="D553" s="1392" t="s">
        <v>268</v>
      </c>
      <c r="E553" s="1408">
        <f>286000*1.19</f>
        <v>340340</v>
      </c>
      <c r="F553" s="1405">
        <v>1</v>
      </c>
      <c r="G553" s="1396">
        <f>(F553)*E553</f>
        <v>340340</v>
      </c>
      <c r="H553" s="460"/>
    </row>
    <row r="554" spans="1:8">
      <c r="A554" s="1386"/>
      <c r="B554" s="1387"/>
      <c r="C554" s="1388"/>
      <c r="D554" s="1393"/>
      <c r="E554" s="1409"/>
      <c r="F554" s="1406"/>
      <c r="G554" s="1407"/>
      <c r="H554" s="460"/>
    </row>
    <row r="555" spans="1:8">
      <c r="A555" s="1389"/>
      <c r="B555" s="1390"/>
      <c r="C555" s="1391"/>
      <c r="D555" s="1398"/>
      <c r="E555" s="1410"/>
      <c r="F555" s="1411"/>
      <c r="G555" s="1397"/>
      <c r="H555" s="460"/>
    </row>
    <row r="556" spans="1:8">
      <c r="A556" s="1383" t="s">
        <v>482</v>
      </c>
      <c r="B556" s="1384"/>
      <c r="C556" s="1385"/>
      <c r="D556" s="1392" t="s">
        <v>268</v>
      </c>
      <c r="E556" s="1403">
        <f>53200*1.15</f>
        <v>61179.999999999993</v>
      </c>
      <c r="F556" s="1405">
        <v>1</v>
      </c>
      <c r="G556" s="1396">
        <f>(F556)*E556</f>
        <v>61179.999999999993</v>
      </c>
      <c r="H556" s="460"/>
    </row>
    <row r="557" spans="1:8">
      <c r="A557" s="1389"/>
      <c r="B557" s="1390"/>
      <c r="C557" s="1391"/>
      <c r="D557" s="1393"/>
      <c r="E557" s="1404"/>
      <c r="F557" s="1406"/>
      <c r="G557" s="1407"/>
      <c r="H557" s="460"/>
    </row>
    <row r="558" spans="1:8" ht="15.75" thickBot="1">
      <c r="A558" s="472"/>
      <c r="B558" s="473"/>
      <c r="C558" s="474"/>
      <c r="D558" s="464"/>
      <c r="E558" s="433"/>
      <c r="F558" s="434"/>
      <c r="G558" s="435"/>
      <c r="H558" s="465"/>
    </row>
    <row r="559" spans="1:8" ht="15.75" thickBot="1">
      <c r="A559" s="436"/>
      <c r="B559" s="436"/>
      <c r="C559" s="436"/>
      <c r="D559" s="436"/>
      <c r="E559" s="436"/>
      <c r="F559" s="436"/>
      <c r="G559" s="437" t="s">
        <v>86</v>
      </c>
      <c r="H559" s="466">
        <f>SUM(G551:G558)</f>
        <v>1324960</v>
      </c>
    </row>
    <row r="560" spans="1:8" ht="15.75" thickBot="1">
      <c r="A560" s="450" t="s">
        <v>94</v>
      </c>
      <c r="B560" s="450"/>
      <c r="C560" s="436"/>
      <c r="D560" s="436"/>
      <c r="E560" s="436"/>
      <c r="F560" s="436"/>
      <c r="G560" s="436"/>
      <c r="H560" s="436"/>
    </row>
    <row r="561" spans="1:10">
      <c r="A561" s="1345" t="s">
        <v>95</v>
      </c>
      <c r="B561" s="1346"/>
      <c r="C561" s="1347"/>
      <c r="D561" s="438" t="s">
        <v>88</v>
      </c>
      <c r="E561" s="438" t="s">
        <v>89</v>
      </c>
      <c r="F561" s="438" t="s">
        <v>90</v>
      </c>
      <c r="G561" s="439" t="s">
        <v>84</v>
      </c>
      <c r="H561" s="457"/>
    </row>
    <row r="562" spans="1:10">
      <c r="A562" s="458" t="s">
        <v>235</v>
      </c>
      <c r="B562" s="467"/>
      <c r="C562" s="468"/>
      <c r="D562" s="459" t="s">
        <v>268</v>
      </c>
      <c r="E562" s="430">
        <v>45000</v>
      </c>
      <c r="F562" s="440">
        <v>1</v>
      </c>
      <c r="G562" s="432">
        <f>E562*F562</f>
        <v>45000</v>
      </c>
      <c r="H562" s="460"/>
    </row>
    <row r="563" spans="1:10" ht="15.75" thickBot="1">
      <c r="A563" s="1342"/>
      <c r="B563" s="1343"/>
      <c r="C563" s="1344"/>
      <c r="D563" s="475"/>
      <c r="E563" s="433"/>
      <c r="F563" s="434"/>
      <c r="G563" s="441"/>
      <c r="H563" s="460"/>
    </row>
    <row r="564" spans="1:10" ht="15.75" thickBot="1">
      <c r="A564" s="436"/>
      <c r="B564" s="436"/>
      <c r="C564" s="436"/>
      <c r="D564" s="436"/>
      <c r="E564" s="436"/>
      <c r="F564" s="436"/>
      <c r="G564" s="437" t="s">
        <v>86</v>
      </c>
      <c r="H564" s="466">
        <f>SUM(G562:G563)</f>
        <v>45000</v>
      </c>
    </row>
    <row r="565" spans="1:10" ht="15.75" thickBot="1">
      <c r="A565" s="450" t="s">
        <v>96</v>
      </c>
      <c r="B565" s="450"/>
      <c r="C565" s="436"/>
      <c r="D565" s="436"/>
      <c r="E565" s="436"/>
      <c r="F565" s="436"/>
      <c r="G565" s="436"/>
      <c r="H565" s="436"/>
    </row>
    <row r="566" spans="1:10">
      <c r="A566" s="476" t="s">
        <v>97</v>
      </c>
      <c r="B566" s="438"/>
      <c r="C566" s="438" t="s">
        <v>98</v>
      </c>
      <c r="D566" s="438" t="s">
        <v>99</v>
      </c>
      <c r="E566" s="442" t="s">
        <v>100</v>
      </c>
      <c r="F566" s="443" t="s">
        <v>83</v>
      </c>
      <c r="G566" s="444" t="s">
        <v>84</v>
      </c>
      <c r="H566" s="477"/>
    </row>
    <row r="567" spans="1:10">
      <c r="A567" s="478" t="s">
        <v>1109</v>
      </c>
      <c r="B567" s="467"/>
      <c r="C567" s="479">
        <f>+PERSONAL!$E$34</f>
        <v>100000</v>
      </c>
      <c r="D567" s="480">
        <f>PERSONAL!$F$31</f>
        <v>1.7431000000000001</v>
      </c>
      <c r="E567" s="440">
        <f>+D567*C567</f>
        <v>174310</v>
      </c>
      <c r="F567" s="440">
        <v>1</v>
      </c>
      <c r="G567" s="445">
        <f>ROUND(E567/F567,0)</f>
        <v>174310</v>
      </c>
      <c r="H567" s="451"/>
    </row>
    <row r="568" spans="1:10">
      <c r="A568" s="478" t="s">
        <v>1110</v>
      </c>
      <c r="B568" s="467"/>
      <c r="C568" s="479">
        <f>+PERSONAL!$E$33</f>
        <v>56800</v>
      </c>
      <c r="D568" s="480">
        <f>PERSONAL!$F$31</f>
        <v>1.7431000000000001</v>
      </c>
      <c r="E568" s="440">
        <f>+D568*C568</f>
        <v>99008.08</v>
      </c>
      <c r="F568" s="440">
        <f>+F567</f>
        <v>1</v>
      </c>
      <c r="G568" s="445">
        <f>ROUND(E568/F568,0)</f>
        <v>99008</v>
      </c>
      <c r="H568" s="451"/>
    </row>
    <row r="569" spans="1:10">
      <c r="A569" s="478"/>
      <c r="B569" s="468"/>
      <c r="C569" s="430"/>
      <c r="D569" s="459"/>
      <c r="E569" s="430"/>
      <c r="F569" s="440"/>
      <c r="G569" s="445"/>
      <c r="H569" s="451"/>
    </row>
    <row r="570" spans="1:10">
      <c r="A570" s="478"/>
      <c r="B570" s="468"/>
      <c r="C570" s="430"/>
      <c r="D570" s="459"/>
      <c r="E570" s="430"/>
      <c r="F570" s="440"/>
      <c r="G570" s="445"/>
      <c r="H570" s="451"/>
    </row>
    <row r="571" spans="1:10" ht="15.75" thickBot="1">
      <c r="A571" s="481"/>
      <c r="B571" s="474"/>
      <c r="C571" s="474"/>
      <c r="D571" s="474"/>
      <c r="E571" s="474"/>
      <c r="F571" s="474"/>
      <c r="G571" s="482"/>
      <c r="H571" s="482"/>
    </row>
    <row r="572" spans="1:10" ht="15.75" thickBot="1">
      <c r="A572" s="436"/>
      <c r="B572" s="436"/>
      <c r="C572" s="436"/>
      <c r="D572" s="436"/>
      <c r="E572" s="436"/>
      <c r="F572" s="436"/>
      <c r="G572" s="437" t="s">
        <v>86</v>
      </c>
      <c r="H572" s="466">
        <f>SUM(G567:G571)</f>
        <v>273318</v>
      </c>
    </row>
    <row r="573" spans="1:10" ht="15.75" thickBot="1">
      <c r="A573" s="436"/>
      <c r="B573" s="436"/>
      <c r="C573" s="436"/>
      <c r="D573" s="436"/>
      <c r="E573" s="436"/>
      <c r="F573" s="436"/>
      <c r="G573" s="483"/>
      <c r="H573" s="436"/>
    </row>
    <row r="574" spans="1:10" ht="15.75" thickBot="1">
      <c r="A574" s="436"/>
      <c r="B574" s="436"/>
      <c r="C574" s="436"/>
      <c r="D574" s="436"/>
      <c r="E574" s="484" t="s">
        <v>102</v>
      </c>
      <c r="F574" s="485"/>
      <c r="G574" s="485"/>
      <c r="H574" s="466">
        <f>H548+H559+H564+H572</f>
        <v>1697290.15</v>
      </c>
      <c r="J574" s="486"/>
    </row>
    <row r="575" spans="1:10" ht="15.75" thickBot="1">
      <c r="A575" s="450" t="s">
        <v>103</v>
      </c>
      <c r="B575" s="450"/>
      <c r="C575" s="436"/>
      <c r="D575" s="436"/>
      <c r="E575" s="436"/>
      <c r="F575" s="436"/>
      <c r="G575" s="436"/>
      <c r="H575" s="436"/>
    </row>
    <row r="576" spans="1:10">
      <c r="A576" s="487" t="s">
        <v>80</v>
      </c>
      <c r="B576" s="488"/>
      <c r="C576" s="488"/>
      <c r="D576" s="488"/>
      <c r="E576" s="489"/>
      <c r="F576" s="490" t="s">
        <v>104</v>
      </c>
      <c r="G576" s="491" t="s">
        <v>105</v>
      </c>
      <c r="H576" s="457"/>
    </row>
    <row r="577" spans="1:10">
      <c r="A577" s="469" t="s">
        <v>106</v>
      </c>
      <c r="B577" s="467"/>
      <c r="C577" s="467"/>
      <c r="D577" s="467"/>
      <c r="E577" s="468"/>
      <c r="F577" s="492">
        <f>PRESUPUESTO!$E$222</f>
        <v>0.109</v>
      </c>
      <c r="G577" s="493">
        <f>+F577*H574</f>
        <v>185004.62634999998</v>
      </c>
      <c r="H577" s="460"/>
    </row>
    <row r="578" spans="1:10">
      <c r="A578" s="469" t="s">
        <v>107</v>
      </c>
      <c r="B578" s="467"/>
      <c r="C578" s="467"/>
      <c r="D578" s="467"/>
      <c r="E578" s="468"/>
      <c r="F578" s="492">
        <f>PRESUPUESTO!$E$223</f>
        <v>0.05</v>
      </c>
      <c r="G578" s="493">
        <f>+F578*H574</f>
        <v>84864.507500000007</v>
      </c>
      <c r="H578" s="460"/>
    </row>
    <row r="579" spans="1:10" ht="15.75" thickBot="1">
      <c r="A579" s="472" t="s">
        <v>108</v>
      </c>
      <c r="B579" s="473"/>
      <c r="C579" s="473"/>
      <c r="D579" s="473"/>
      <c r="E579" s="474"/>
      <c r="F579" s="494">
        <v>0</v>
      </c>
      <c r="G579" s="495">
        <f>+F579*H574</f>
        <v>0</v>
      </c>
      <c r="H579" s="465"/>
    </row>
    <row r="580" spans="1:10" ht="15.75" thickBot="1">
      <c r="A580" s="436"/>
      <c r="B580" s="436"/>
      <c r="C580" s="436"/>
      <c r="D580" s="436"/>
      <c r="E580" s="436"/>
      <c r="F580" s="436"/>
      <c r="G580" s="437" t="s">
        <v>86</v>
      </c>
      <c r="H580" s="496">
        <f>SUM(G577:G579)</f>
        <v>269869.13384999998</v>
      </c>
    </row>
    <row r="581" spans="1:10" ht="15.75" thickBot="1">
      <c r="A581" s="436"/>
      <c r="B581" s="436"/>
      <c r="C581" s="436"/>
      <c r="D581" s="436"/>
      <c r="E581" s="436"/>
      <c r="F581" s="436"/>
      <c r="G581" s="436"/>
      <c r="H581" s="436"/>
    </row>
    <row r="582" spans="1:10" ht="15.75" thickBot="1">
      <c r="A582" s="446"/>
      <c r="B582" s="446"/>
      <c r="C582" s="436"/>
      <c r="D582" s="484" t="s">
        <v>109</v>
      </c>
      <c r="E582" s="485"/>
      <c r="F582" s="485"/>
      <c r="G582" s="485"/>
      <c r="H582" s="466">
        <f>ROUND((H574+H580),0)</f>
        <v>1967159</v>
      </c>
    </row>
    <row r="584" spans="1:10">
      <c r="A584" s="186" t="s">
        <v>77</v>
      </c>
      <c r="B584" s="446"/>
      <c r="C584" s="446"/>
      <c r="D584" s="446"/>
      <c r="E584" s="446"/>
      <c r="F584" s="446"/>
      <c r="G584" s="446"/>
      <c r="H584" s="446"/>
    </row>
    <row r="585" spans="1:10" ht="15.75" thickBot="1">
      <c r="A585" s="446"/>
      <c r="B585" s="446"/>
      <c r="C585" s="446"/>
      <c r="D585" s="446"/>
      <c r="E585" s="446"/>
      <c r="F585" s="446"/>
      <c r="G585" s="446"/>
      <c r="H585" s="446"/>
    </row>
    <row r="586" spans="1:10">
      <c r="A586" s="1348" t="s">
        <v>213</v>
      </c>
      <c r="B586" s="1349"/>
      <c r="C586" s="1350"/>
      <c r="D586" s="448"/>
      <c r="E586" s="448"/>
      <c r="F586" s="448"/>
      <c r="G586" s="448"/>
      <c r="H586" s="449"/>
    </row>
    <row r="587" spans="1:10">
      <c r="A587" s="1351"/>
      <c r="B587" s="1352"/>
      <c r="C587" s="1353"/>
      <c r="D587" s="436"/>
      <c r="E587" s="450" t="s">
        <v>78</v>
      </c>
      <c r="F587" s="436"/>
      <c r="G587" s="436"/>
      <c r="H587" s="451"/>
    </row>
    <row r="588" spans="1:10" ht="15.75" thickBot="1">
      <c r="A588" s="1354"/>
      <c r="B588" s="1355"/>
      <c r="C588" s="1356"/>
      <c r="D588" s="1360"/>
      <c r="E588" s="1361"/>
      <c r="F588" s="1361"/>
      <c r="G588" s="1361"/>
      <c r="H588" s="1362"/>
    </row>
    <row r="589" spans="1:10">
      <c r="A589" s="455"/>
      <c r="B589" s="436"/>
      <c r="C589" s="436"/>
      <c r="D589" s="436"/>
      <c r="E589" s="436"/>
      <c r="F589" s="436"/>
      <c r="G589" s="436"/>
      <c r="H589" s="436"/>
    </row>
    <row r="590" spans="1:10" s="446" customFormat="1" ht="12.75">
      <c r="A590" s="455" t="s">
        <v>1146</v>
      </c>
      <c r="B590" s="456" t="str">
        <f>+PRESUPUESTO!$B$70</f>
        <v>INSTALACIONES ELÉCTRICAS</v>
      </c>
      <c r="C590" s="436"/>
      <c r="E590" s="456"/>
      <c r="G590" s="456" t="s">
        <v>1123</v>
      </c>
      <c r="H590" s="483" t="s">
        <v>1176</v>
      </c>
      <c r="I590" s="436"/>
      <c r="J590" s="436"/>
    </row>
    <row r="591" spans="1:10" s="931" customFormat="1" ht="52.15" customHeight="1">
      <c r="A591" s="928" t="s">
        <v>1122</v>
      </c>
      <c r="B591" s="1375" t="str">
        <f>VLOOKUP(H590,PRESUPUESTO!$A$18:$F$251,2,FALSE)</f>
        <v>Suministro,Transporte e Instalacion de Luminaria BAMBU-0,6-L50-D-4K en poste metalico de 3m</v>
      </c>
      <c r="C591" s="1375"/>
      <c r="D591" s="1375"/>
      <c r="E591" s="1375"/>
      <c r="F591" s="1375"/>
      <c r="G591" s="929" t="s">
        <v>9</v>
      </c>
      <c r="H591" s="1024" t="str">
        <f>VLOOKUP(H590,PRESUPUESTO!$A$18:$F$251,3,FALSE)</f>
        <v>un</v>
      </c>
    </row>
    <row r="592" spans="1:10">
      <c r="A592" s="456"/>
      <c r="B592" s="456"/>
      <c r="C592" s="436"/>
      <c r="D592" s="456"/>
      <c r="E592" s="456"/>
      <c r="F592" s="456"/>
      <c r="G592" s="456"/>
      <c r="H592" s="436"/>
    </row>
    <row r="593" spans="1:9" ht="15.75" thickBot="1">
      <c r="A593" s="450" t="s">
        <v>79</v>
      </c>
      <c r="B593" s="450"/>
      <c r="C593" s="436"/>
      <c r="D593" s="436"/>
      <c r="E593" s="436"/>
      <c r="F593" s="436"/>
      <c r="G593" s="436"/>
      <c r="H593" s="436"/>
    </row>
    <row r="594" spans="1:9">
      <c r="A594" s="1345" t="s">
        <v>80</v>
      </c>
      <c r="B594" s="1346"/>
      <c r="C594" s="1347"/>
      <c r="D594" s="438" t="s">
        <v>81</v>
      </c>
      <c r="E594" s="438" t="s">
        <v>82</v>
      </c>
      <c r="F594" s="438" t="s">
        <v>83</v>
      </c>
      <c r="G594" s="439" t="s">
        <v>84</v>
      </c>
      <c r="H594" s="457"/>
    </row>
    <row r="595" spans="1:9">
      <c r="A595" s="1357" t="s">
        <v>471</v>
      </c>
      <c r="B595" s="1358"/>
      <c r="C595" s="1359"/>
      <c r="D595" s="459" t="s">
        <v>268</v>
      </c>
      <c r="E595" s="440">
        <f>+H622</f>
        <v>210245</v>
      </c>
      <c r="F595" s="440">
        <v>0.05</v>
      </c>
      <c r="G595" s="432">
        <f>E595*F595</f>
        <v>10512.25</v>
      </c>
      <c r="H595" s="460"/>
    </row>
    <row r="596" spans="1:9">
      <c r="A596" s="1357" t="s">
        <v>215</v>
      </c>
      <c r="B596" s="1358"/>
      <c r="C596" s="1359"/>
      <c r="D596" s="461" t="s">
        <v>263</v>
      </c>
      <c r="E596" s="462">
        <f>MATERIALES!$C$4</f>
        <v>14500</v>
      </c>
      <c r="F596" s="440">
        <f>1/F617</f>
        <v>0.76923076923076916</v>
      </c>
      <c r="G596" s="432">
        <f>E596*F596</f>
        <v>11153.846153846152</v>
      </c>
      <c r="H596" s="460"/>
    </row>
    <row r="597" spans="1:9" s="446" customFormat="1" ht="12.75">
      <c r="A597" s="1376" t="s">
        <v>694</v>
      </c>
      <c r="B597" s="1377"/>
      <c r="C597" s="1378"/>
      <c r="D597" s="777" t="s">
        <v>1084</v>
      </c>
      <c r="E597" s="1012">
        <f>20750*1.19</f>
        <v>24692.5</v>
      </c>
      <c r="F597" s="779">
        <f>+F596</f>
        <v>0.76923076923076916</v>
      </c>
      <c r="G597" s="780">
        <f>+E597/F597</f>
        <v>32100.250000000004</v>
      </c>
      <c r="H597" s="776"/>
    </row>
    <row r="598" spans="1:9" ht="15.75" thickBot="1">
      <c r="A598" s="1342"/>
      <c r="B598" s="1343"/>
      <c r="C598" s="1344"/>
      <c r="D598" s="464"/>
      <c r="E598" s="433"/>
      <c r="F598" s="434"/>
      <c r="G598" s="441">
        <f>E598*F598</f>
        <v>0</v>
      </c>
      <c r="H598" s="465"/>
    </row>
    <row r="599" spans="1:9" ht="15.75" thickBot="1">
      <c r="A599" s="436"/>
      <c r="B599" s="436"/>
      <c r="C599" s="436"/>
      <c r="D599" s="436"/>
      <c r="E599" s="436"/>
      <c r="F599" s="436"/>
      <c r="G599" s="437" t="s">
        <v>86</v>
      </c>
      <c r="H599" s="466">
        <f>SUM(G595:G598)</f>
        <v>53766.346153846156</v>
      </c>
    </row>
    <row r="600" spans="1:9" ht="15.75" thickBot="1">
      <c r="A600" s="450" t="s">
        <v>87</v>
      </c>
      <c r="B600" s="450"/>
      <c r="C600" s="436"/>
      <c r="D600" s="436"/>
      <c r="E600" s="436"/>
      <c r="F600" s="436"/>
      <c r="G600" s="436"/>
      <c r="H600" s="436"/>
    </row>
    <row r="601" spans="1:9">
      <c r="A601" s="1345" t="s">
        <v>80</v>
      </c>
      <c r="B601" s="1346"/>
      <c r="C601" s="1347"/>
      <c r="D601" s="438" t="s">
        <v>88</v>
      </c>
      <c r="E601" s="438" t="s">
        <v>89</v>
      </c>
      <c r="F601" s="438" t="s">
        <v>90</v>
      </c>
      <c r="G601" s="439" t="s">
        <v>84</v>
      </c>
      <c r="H601" s="457"/>
    </row>
    <row r="602" spans="1:9" ht="18" customHeight="1">
      <c r="A602" s="1384" t="s">
        <v>481</v>
      </c>
      <c r="B602" s="1384"/>
      <c r="C602" s="1385"/>
      <c r="D602" s="1392" t="s">
        <v>268</v>
      </c>
      <c r="E602" s="1399">
        <f>533000*1.19</f>
        <v>634270</v>
      </c>
      <c r="F602" s="1401">
        <v>1</v>
      </c>
      <c r="G602" s="1396">
        <f>E602*F602</f>
        <v>634270</v>
      </c>
      <c r="H602" s="460"/>
    </row>
    <row r="603" spans="1:9">
      <c r="A603" s="1390"/>
      <c r="B603" s="1390"/>
      <c r="C603" s="1391"/>
      <c r="D603" s="1398"/>
      <c r="E603" s="1400"/>
      <c r="F603" s="1402"/>
      <c r="G603" s="1397"/>
      <c r="H603" s="460"/>
    </row>
    <row r="604" spans="1:9">
      <c r="A604" s="1383" t="s">
        <v>482</v>
      </c>
      <c r="B604" s="1384"/>
      <c r="C604" s="1385"/>
      <c r="D604" s="1392" t="s">
        <v>268</v>
      </c>
      <c r="E604" s="1403">
        <f>53200*1.15</f>
        <v>61179.999999999993</v>
      </c>
      <c r="F604" s="1405">
        <v>1</v>
      </c>
      <c r="G604" s="1396">
        <f>(F604)*E604</f>
        <v>61179.999999999993</v>
      </c>
      <c r="H604" s="460"/>
    </row>
    <row r="605" spans="1:9">
      <c r="A605" s="1389"/>
      <c r="B605" s="1390"/>
      <c r="C605" s="1391"/>
      <c r="D605" s="1393"/>
      <c r="E605" s="1404"/>
      <c r="F605" s="1406"/>
      <c r="G605" s="1407"/>
      <c r="H605" s="460"/>
    </row>
    <row r="606" spans="1:9">
      <c r="A606" s="458" t="s">
        <v>531</v>
      </c>
      <c r="B606" s="467"/>
      <c r="C606" s="468"/>
      <c r="D606" s="459" t="s">
        <v>534</v>
      </c>
      <c r="E606" s="430">
        <f>APA!$H$176</f>
        <v>561165.64333333331</v>
      </c>
      <c r="F606" s="440">
        <f>0.3*0.3*0.3</f>
        <v>2.7E-2</v>
      </c>
      <c r="G606" s="432">
        <f>E606*F606</f>
        <v>15151.47237</v>
      </c>
      <c r="H606" s="460"/>
      <c r="I606"/>
    </row>
    <row r="607" spans="1:9">
      <c r="A607" s="469" t="s">
        <v>535</v>
      </c>
      <c r="B607" s="467"/>
      <c r="C607" s="468"/>
      <c r="D607" s="459" t="s">
        <v>173</v>
      </c>
      <c r="E607" s="470">
        <v>260000</v>
      </c>
      <c r="F607" s="686">
        <f>+F606</f>
        <v>2.7E-2</v>
      </c>
      <c r="G607" s="432">
        <f>F607*E607</f>
        <v>7020</v>
      </c>
      <c r="H607" s="460"/>
      <c r="I607" s="545"/>
    </row>
    <row r="608" spans="1:9" ht="15.75" thickBot="1">
      <c r="A608" s="472"/>
      <c r="B608" s="473"/>
      <c r="C608" s="474"/>
      <c r="D608" s="464"/>
      <c r="E608" s="433"/>
      <c r="F608" s="434"/>
      <c r="G608" s="435"/>
      <c r="H608" s="465"/>
    </row>
    <row r="609" spans="1:10" ht="15.75" thickBot="1">
      <c r="A609" s="436"/>
      <c r="B609" s="436"/>
      <c r="C609" s="436"/>
      <c r="D609" s="436"/>
      <c r="E609" s="436"/>
      <c r="F609" s="436"/>
      <c r="G609" s="437" t="s">
        <v>86</v>
      </c>
      <c r="H609" s="466">
        <f>SUM(G602:G608)</f>
        <v>717621.47236999997</v>
      </c>
    </row>
    <row r="610" spans="1:10" ht="15.75" thickBot="1">
      <c r="A610" s="450" t="s">
        <v>94</v>
      </c>
      <c r="B610" s="450"/>
      <c r="C610" s="436"/>
      <c r="D610" s="436"/>
      <c r="E610" s="436"/>
      <c r="F610" s="436"/>
      <c r="G610" s="436"/>
      <c r="H610" s="436"/>
    </row>
    <row r="611" spans="1:10">
      <c r="A611" s="1345" t="s">
        <v>95</v>
      </c>
      <c r="B611" s="1346"/>
      <c r="C611" s="1347"/>
      <c r="D611" s="438" t="s">
        <v>88</v>
      </c>
      <c r="E611" s="438" t="s">
        <v>89</v>
      </c>
      <c r="F611" s="438" t="s">
        <v>90</v>
      </c>
      <c r="G611" s="439" t="s">
        <v>84</v>
      </c>
      <c r="H611" s="457"/>
    </row>
    <row r="612" spans="1:10">
      <c r="A612" s="458" t="s">
        <v>235</v>
      </c>
      <c r="B612" s="467"/>
      <c r="C612" s="468"/>
      <c r="D612" s="459" t="s">
        <v>268</v>
      </c>
      <c r="E612" s="430">
        <v>38000</v>
      </c>
      <c r="F612" s="440">
        <v>1</v>
      </c>
      <c r="G612" s="432">
        <f>E612*F612</f>
        <v>38000</v>
      </c>
      <c r="H612" s="460"/>
    </row>
    <row r="613" spans="1:10" ht="15.75" thickBot="1">
      <c r="A613" s="1342"/>
      <c r="B613" s="1343"/>
      <c r="C613" s="1344"/>
      <c r="D613" s="475"/>
      <c r="E613" s="433"/>
      <c r="F613" s="434"/>
      <c r="G613" s="441"/>
      <c r="H613" s="460"/>
    </row>
    <row r="614" spans="1:10" ht="15.75" thickBot="1">
      <c r="A614" s="436"/>
      <c r="B614" s="436"/>
      <c r="C614" s="436"/>
      <c r="D614" s="436"/>
      <c r="E614" s="436"/>
      <c r="F614" s="436"/>
      <c r="G614" s="437" t="s">
        <v>86</v>
      </c>
      <c r="H614" s="466">
        <f>SUM(G612:G613)</f>
        <v>38000</v>
      </c>
      <c r="I614" s="677"/>
    </row>
    <row r="615" spans="1:10" ht="15.75" thickBot="1">
      <c r="A615" s="450" t="s">
        <v>96</v>
      </c>
      <c r="B615" s="450"/>
      <c r="C615" s="436"/>
      <c r="D615" s="436"/>
      <c r="E615" s="436"/>
      <c r="F615" s="436"/>
      <c r="G615" s="436"/>
      <c r="H615" s="436"/>
    </row>
    <row r="616" spans="1:10">
      <c r="A616" s="476" t="s">
        <v>97</v>
      </c>
      <c r="B616" s="438"/>
      <c r="C616" s="438" t="s">
        <v>98</v>
      </c>
      <c r="D616" s="438" t="s">
        <v>99</v>
      </c>
      <c r="E616" s="442" t="s">
        <v>100</v>
      </c>
      <c r="F616" s="443" t="s">
        <v>83</v>
      </c>
      <c r="G616" s="444" t="s">
        <v>84</v>
      </c>
      <c r="H616" s="477"/>
    </row>
    <row r="617" spans="1:10">
      <c r="A617" s="478" t="s">
        <v>1109</v>
      </c>
      <c r="B617" s="467"/>
      <c r="C617" s="479">
        <f>+PERSONAL!$E$34</f>
        <v>100000</v>
      </c>
      <c r="D617" s="480">
        <f>PERSONAL!$F$31</f>
        <v>1.7431000000000001</v>
      </c>
      <c r="E617" s="440">
        <f>+D617*C617</f>
        <v>174310</v>
      </c>
      <c r="F617" s="440">
        <v>1.3</v>
      </c>
      <c r="G617" s="445">
        <f>ROUND(E617/F617,0)</f>
        <v>134085</v>
      </c>
      <c r="H617" s="451"/>
    </row>
    <row r="618" spans="1:10">
      <c r="A618" s="478" t="s">
        <v>1110</v>
      </c>
      <c r="B618" s="467"/>
      <c r="C618" s="479">
        <f>+PERSONAL!$E$33</f>
        <v>56800</v>
      </c>
      <c r="D618" s="480">
        <f>PERSONAL!$F$31</f>
        <v>1.7431000000000001</v>
      </c>
      <c r="E618" s="440">
        <f>+D618*C618</f>
        <v>99008.08</v>
      </c>
      <c r="F618" s="440">
        <f>+F617</f>
        <v>1.3</v>
      </c>
      <c r="G618" s="445">
        <f>ROUND(E618/F618,0)</f>
        <v>76160</v>
      </c>
      <c r="H618" s="451"/>
    </row>
    <row r="619" spans="1:10">
      <c r="A619" s="478"/>
      <c r="B619" s="468"/>
      <c r="C619" s="430"/>
      <c r="D619" s="459"/>
      <c r="E619" s="430"/>
      <c r="F619" s="440"/>
      <c r="G619" s="445"/>
      <c r="H619" s="451"/>
    </row>
    <row r="620" spans="1:10">
      <c r="A620" s="478"/>
      <c r="B620" s="468"/>
      <c r="C620" s="430"/>
      <c r="D620" s="459"/>
      <c r="E620" s="430"/>
      <c r="F620" s="440"/>
      <c r="G620" s="445"/>
      <c r="H620" s="451"/>
    </row>
    <row r="621" spans="1:10" ht="15.75" thickBot="1">
      <c r="A621" s="481"/>
      <c r="B621" s="474"/>
      <c r="C621" s="474"/>
      <c r="D621" s="474"/>
      <c r="E621" s="474"/>
      <c r="F621" s="474"/>
      <c r="G621" s="482"/>
      <c r="H621" s="482"/>
    </row>
    <row r="622" spans="1:10" ht="15.75" thickBot="1">
      <c r="A622" s="436"/>
      <c r="B622" s="436"/>
      <c r="C622" s="436"/>
      <c r="D622" s="436"/>
      <c r="E622" s="436"/>
      <c r="F622" s="436"/>
      <c r="G622" s="437" t="s">
        <v>86</v>
      </c>
      <c r="H622" s="466">
        <f>SUM(G617:G621)</f>
        <v>210245</v>
      </c>
    </row>
    <row r="623" spans="1:10" ht="15.75" thickBot="1">
      <c r="A623" s="436"/>
      <c r="B623" s="436"/>
      <c r="C623" s="436"/>
      <c r="D623" s="436"/>
      <c r="E623" s="436"/>
      <c r="F623" s="436"/>
      <c r="G623" s="483"/>
      <c r="H623" s="436"/>
    </row>
    <row r="624" spans="1:10" ht="15.75" thickBot="1">
      <c r="A624" s="436"/>
      <c r="B624" s="436"/>
      <c r="C624" s="436"/>
      <c r="D624" s="436"/>
      <c r="E624" s="484" t="s">
        <v>102</v>
      </c>
      <c r="F624" s="485"/>
      <c r="G624" s="485"/>
      <c r="H624" s="466">
        <f>H599+H609+H614+H622</f>
        <v>1019632.8185238461</v>
      </c>
      <c r="J624" s="486"/>
    </row>
    <row r="625" spans="1:11" ht="15.75" thickBot="1">
      <c r="A625" s="450" t="s">
        <v>103</v>
      </c>
      <c r="B625" s="450"/>
      <c r="C625" s="436"/>
      <c r="D625" s="436"/>
      <c r="E625" s="436"/>
      <c r="F625" s="436"/>
      <c r="G625" s="436"/>
      <c r="H625" s="436"/>
    </row>
    <row r="626" spans="1:11">
      <c r="A626" s="487" t="s">
        <v>80</v>
      </c>
      <c r="B626" s="488"/>
      <c r="C626" s="488"/>
      <c r="D626" s="488"/>
      <c r="E626" s="489"/>
      <c r="F626" s="490" t="s">
        <v>104</v>
      </c>
      <c r="G626" s="491" t="s">
        <v>105</v>
      </c>
      <c r="H626" s="457"/>
    </row>
    <row r="627" spans="1:11">
      <c r="A627" s="469" t="s">
        <v>106</v>
      </c>
      <c r="B627" s="467"/>
      <c r="C627" s="467"/>
      <c r="D627" s="467"/>
      <c r="E627" s="468"/>
      <c r="F627" s="492">
        <f>PRESUPUESTO!$E$222</f>
        <v>0.109</v>
      </c>
      <c r="G627" s="493">
        <f>+F627*H624</f>
        <v>111139.97721909922</v>
      </c>
      <c r="H627" s="460"/>
    </row>
    <row r="628" spans="1:11">
      <c r="A628" s="469" t="s">
        <v>107</v>
      </c>
      <c r="B628" s="467"/>
      <c r="C628" s="467"/>
      <c r="D628" s="467"/>
      <c r="E628" s="468"/>
      <c r="F628" s="492">
        <f>PRESUPUESTO!$E$223</f>
        <v>0.05</v>
      </c>
      <c r="G628" s="493">
        <f>+F628*H624</f>
        <v>50981.640926192311</v>
      </c>
      <c r="H628" s="460"/>
      <c r="K628" s="683"/>
    </row>
    <row r="629" spans="1:11" ht="15.75" thickBot="1">
      <c r="A629" s="472" t="s">
        <v>108</v>
      </c>
      <c r="B629" s="473"/>
      <c r="C629" s="473"/>
      <c r="D629" s="473"/>
      <c r="E629" s="474"/>
      <c r="F629" s="494">
        <v>0</v>
      </c>
      <c r="G629" s="495">
        <f>+F629*H624</f>
        <v>0</v>
      </c>
      <c r="H629" s="465"/>
      <c r="K629" s="683"/>
    </row>
    <row r="630" spans="1:11" ht="15.75" thickBot="1">
      <c r="A630" s="436"/>
      <c r="B630" s="436"/>
      <c r="C630" s="436"/>
      <c r="D630" s="436"/>
      <c r="E630" s="436"/>
      <c r="F630" s="436"/>
      <c r="G630" s="437" t="s">
        <v>86</v>
      </c>
      <c r="H630" s="496">
        <f>SUM(G627:G629)</f>
        <v>162121.61814529152</v>
      </c>
    </row>
    <row r="631" spans="1:11" ht="15.75" thickBot="1">
      <c r="A631" s="436"/>
      <c r="B631" s="436"/>
      <c r="C631" s="436"/>
      <c r="D631" s="436"/>
      <c r="E631" s="436"/>
      <c r="F631" s="436"/>
      <c r="G631" s="436"/>
      <c r="H631" s="436"/>
    </row>
    <row r="632" spans="1:11" ht="15.75" thickBot="1">
      <c r="A632" s="446"/>
      <c r="B632" s="446"/>
      <c r="C632" s="436"/>
      <c r="D632" s="484" t="s">
        <v>109</v>
      </c>
      <c r="E632" s="485"/>
      <c r="F632" s="485"/>
      <c r="G632" s="485"/>
      <c r="H632" s="466">
        <f>ROUND((H624+H630),0)</f>
        <v>1181754</v>
      </c>
    </row>
    <row r="633" spans="1:11">
      <c r="A633" s="446"/>
      <c r="B633" s="446"/>
      <c r="C633" s="446"/>
      <c r="D633" s="446"/>
      <c r="E633" s="446"/>
      <c r="F633" s="446"/>
      <c r="G633" s="446"/>
      <c r="H633" s="446"/>
    </row>
    <row r="634" spans="1:11">
      <c r="A634" s="186" t="s">
        <v>77</v>
      </c>
      <c r="B634" s="446"/>
      <c r="C634" s="446"/>
      <c r="D634" s="446"/>
      <c r="E634" s="446"/>
      <c r="F634" s="446"/>
      <c r="G634" s="446"/>
      <c r="H634" s="446"/>
    </row>
    <row r="635" spans="1:11" ht="15.75" thickBot="1">
      <c r="A635" s="446"/>
      <c r="B635" s="446"/>
      <c r="C635" s="446"/>
      <c r="D635" s="446"/>
      <c r="E635" s="446"/>
      <c r="F635" s="446"/>
      <c r="G635" s="446"/>
      <c r="H635" s="446"/>
    </row>
    <row r="636" spans="1:11">
      <c r="A636" s="1348" t="s">
        <v>213</v>
      </c>
      <c r="B636" s="1349"/>
      <c r="C636" s="1350"/>
      <c r="D636" s="448"/>
      <c r="E636" s="448"/>
      <c r="F636" s="448"/>
      <c r="G636" s="448"/>
      <c r="H636" s="449"/>
    </row>
    <row r="637" spans="1:11">
      <c r="A637" s="1351"/>
      <c r="B637" s="1352"/>
      <c r="C637" s="1353"/>
      <c r="D637" s="436"/>
      <c r="E637" s="450" t="s">
        <v>78</v>
      </c>
      <c r="F637" s="436"/>
      <c r="G637" s="436"/>
      <c r="H637" s="451"/>
    </row>
    <row r="638" spans="1:11" ht="15.75" thickBot="1">
      <c r="A638" s="1354"/>
      <c r="B638" s="1355"/>
      <c r="C638" s="1356"/>
      <c r="D638" s="1360"/>
      <c r="E638" s="1361"/>
      <c r="F638" s="1361"/>
      <c r="G638" s="1361"/>
      <c r="H638" s="1362"/>
    </row>
    <row r="639" spans="1:11">
      <c r="A639" s="455"/>
      <c r="B639" s="436"/>
      <c r="C639" s="436"/>
      <c r="D639" s="436"/>
      <c r="E639" s="436"/>
      <c r="F639" s="436"/>
      <c r="G639" s="436"/>
      <c r="H639" s="436"/>
    </row>
    <row r="640" spans="1:11" s="446" customFormat="1" ht="12.75">
      <c r="A640" s="455" t="s">
        <v>1146</v>
      </c>
      <c r="B640" s="456" t="str">
        <f>+PRESUPUESTO!$B$70</f>
        <v>INSTALACIONES ELÉCTRICAS</v>
      </c>
      <c r="C640" s="436"/>
      <c r="E640" s="456"/>
      <c r="G640" s="456" t="s">
        <v>1123</v>
      </c>
      <c r="H640" s="483" t="s">
        <v>1177</v>
      </c>
      <c r="I640" s="436"/>
      <c r="J640" s="436"/>
    </row>
    <row r="641" spans="1:8" s="931" customFormat="1" ht="52.15" customHeight="1">
      <c r="A641" s="928" t="s">
        <v>1122</v>
      </c>
      <c r="B641" s="1375" t="str">
        <f>VLOOKUP(H640,PRESUPUESTO!$A$18:$F$251,2,FALSE)</f>
        <v>Suministro,Transporte e Instalacion de Luminaria Tipo sendera, acrilico opal LED de 35W.</v>
      </c>
      <c r="C641" s="1375"/>
      <c r="D641" s="1375"/>
      <c r="E641" s="1375"/>
      <c r="F641" s="1375"/>
      <c r="G641" s="929" t="s">
        <v>9</v>
      </c>
      <c r="H641" s="1024" t="str">
        <f>VLOOKUP(H640,PRESUPUESTO!$A$18:$F$251,3,FALSE)</f>
        <v>un</v>
      </c>
    </row>
    <row r="642" spans="1:8">
      <c r="A642" s="456"/>
      <c r="B642" s="456"/>
      <c r="C642" s="436"/>
      <c r="D642" s="456"/>
      <c r="E642" s="456"/>
      <c r="F642" s="456"/>
      <c r="G642" s="456"/>
      <c r="H642" s="436"/>
    </row>
    <row r="643" spans="1:8" ht="15.75" thickBot="1">
      <c r="A643" s="450" t="s">
        <v>79</v>
      </c>
      <c r="B643" s="450"/>
      <c r="C643" s="436"/>
      <c r="D643" s="436"/>
      <c r="E643" s="436"/>
      <c r="F643" s="436"/>
      <c r="G643" s="436"/>
      <c r="H643" s="436"/>
    </row>
    <row r="644" spans="1:8">
      <c r="A644" s="1345" t="s">
        <v>80</v>
      </c>
      <c r="B644" s="1346"/>
      <c r="C644" s="1347"/>
      <c r="D644" s="438" t="s">
        <v>81</v>
      </c>
      <c r="E644" s="438" t="s">
        <v>82</v>
      </c>
      <c r="F644" s="438" t="s">
        <v>83</v>
      </c>
      <c r="G644" s="439" t="s">
        <v>84</v>
      </c>
      <c r="H644" s="457"/>
    </row>
    <row r="645" spans="1:8">
      <c r="A645" s="1357" t="s">
        <v>471</v>
      </c>
      <c r="B645" s="1358"/>
      <c r="C645" s="1359"/>
      <c r="D645" s="459" t="s">
        <v>268</v>
      </c>
      <c r="E645" s="440">
        <f>+H670</f>
        <v>160775</v>
      </c>
      <c r="F645" s="440">
        <v>0.05</v>
      </c>
      <c r="G645" s="432">
        <f>E645*F645</f>
        <v>8038.75</v>
      </c>
      <c r="H645" s="460"/>
    </row>
    <row r="646" spans="1:8">
      <c r="A646" s="1357"/>
      <c r="B646" s="1358"/>
      <c r="C646" s="1359"/>
      <c r="D646" s="461"/>
      <c r="E646" s="462"/>
      <c r="F646" s="440"/>
      <c r="G646" s="432"/>
      <c r="H646" s="460"/>
    </row>
    <row r="647" spans="1:8" s="446" customFormat="1" ht="12.75">
      <c r="A647" s="1376" t="s">
        <v>694</v>
      </c>
      <c r="B647" s="1377"/>
      <c r="C647" s="1378"/>
      <c r="D647" s="777" t="s">
        <v>1084</v>
      </c>
      <c r="E647" s="1012">
        <f>20750*1.19</f>
        <v>24692.5</v>
      </c>
      <c r="F647" s="779">
        <f>1*F665</f>
        <v>1.7</v>
      </c>
      <c r="G647" s="780">
        <f>+E647/F647</f>
        <v>14525</v>
      </c>
      <c r="H647" s="776"/>
    </row>
    <row r="648" spans="1:8" ht="15.75" thickBot="1">
      <c r="A648" s="1342"/>
      <c r="B648" s="1343"/>
      <c r="C648" s="1344"/>
      <c r="D648" s="464"/>
      <c r="E648" s="433"/>
      <c r="F648" s="434"/>
      <c r="G648" s="441">
        <f>E648*F648</f>
        <v>0</v>
      </c>
      <c r="H648" s="465"/>
    </row>
    <row r="649" spans="1:8" ht="15.75" thickBot="1">
      <c r="A649" s="436"/>
      <c r="B649" s="436"/>
      <c r="C649" s="436"/>
      <c r="D649" s="436"/>
      <c r="E649" s="436"/>
      <c r="F649" s="436"/>
      <c r="G649" s="437" t="s">
        <v>86</v>
      </c>
      <c r="H649" s="466">
        <f>SUM(G645:G648)</f>
        <v>22563.75</v>
      </c>
    </row>
    <row r="650" spans="1:8" ht="15.75" thickBot="1">
      <c r="A650" s="450" t="s">
        <v>87</v>
      </c>
      <c r="B650" s="450"/>
      <c r="C650" s="436"/>
      <c r="D650" s="436"/>
      <c r="E650" s="436"/>
      <c r="F650" s="436"/>
      <c r="G650" s="436"/>
      <c r="H650" s="436"/>
    </row>
    <row r="651" spans="1:8">
      <c r="A651" s="1345" t="s">
        <v>80</v>
      </c>
      <c r="B651" s="1346"/>
      <c r="C651" s="1347"/>
      <c r="D651" s="438" t="s">
        <v>88</v>
      </c>
      <c r="E651" s="438" t="s">
        <v>89</v>
      </c>
      <c r="F651" s="438" t="s">
        <v>90</v>
      </c>
      <c r="G651" s="439" t="s">
        <v>84</v>
      </c>
      <c r="H651" s="457"/>
    </row>
    <row r="652" spans="1:8">
      <c r="A652" s="1384" t="s">
        <v>1117</v>
      </c>
      <c r="B652" s="1384"/>
      <c r="C652" s="1385"/>
      <c r="D652" s="1392" t="s">
        <v>268</v>
      </c>
      <c r="E652" s="1399">
        <f>351000*1.19</f>
        <v>417690</v>
      </c>
      <c r="F652" s="1401">
        <v>1</v>
      </c>
      <c r="G652" s="1396">
        <f>E652*F652</f>
        <v>417690</v>
      </c>
      <c r="H652" s="460"/>
    </row>
    <row r="653" spans="1:8">
      <c r="A653" s="1390"/>
      <c r="B653" s="1390"/>
      <c r="C653" s="1391"/>
      <c r="D653" s="1398"/>
      <c r="E653" s="1400"/>
      <c r="F653" s="1402"/>
      <c r="G653" s="1397"/>
      <c r="H653" s="460"/>
    </row>
    <row r="654" spans="1:8">
      <c r="A654" s="1383" t="s">
        <v>482</v>
      </c>
      <c r="B654" s="1384"/>
      <c r="C654" s="1385"/>
      <c r="D654" s="1392" t="s">
        <v>268</v>
      </c>
      <c r="E654" s="1403">
        <f>25800*1.15</f>
        <v>29669.999999999996</v>
      </c>
      <c r="F654" s="1405">
        <v>1</v>
      </c>
      <c r="G654" s="1396">
        <f>(F654)*E654</f>
        <v>29669.999999999996</v>
      </c>
      <c r="H654" s="460"/>
    </row>
    <row r="655" spans="1:8">
      <c r="A655" s="1389"/>
      <c r="B655" s="1390"/>
      <c r="C655" s="1391"/>
      <c r="D655" s="1393"/>
      <c r="E655" s="1404"/>
      <c r="F655" s="1406"/>
      <c r="G655" s="1407"/>
      <c r="H655" s="460"/>
    </row>
    <row r="656" spans="1:8" ht="15.75" thickBot="1">
      <c r="A656" s="472"/>
      <c r="B656" s="473"/>
      <c r="C656" s="474"/>
      <c r="D656" s="464"/>
      <c r="E656" s="433"/>
      <c r="F656" s="434"/>
      <c r="G656" s="435"/>
      <c r="H656" s="465"/>
    </row>
    <row r="657" spans="1:10" ht="15.75" thickBot="1">
      <c r="A657" s="436"/>
      <c r="B657" s="436"/>
      <c r="C657" s="436"/>
      <c r="D657" s="436"/>
      <c r="E657" s="436"/>
      <c r="F657" s="436"/>
      <c r="G657" s="437" t="s">
        <v>86</v>
      </c>
      <c r="H657" s="466">
        <f>SUM(G652:G656)</f>
        <v>447360</v>
      </c>
    </row>
    <row r="658" spans="1:10" ht="15.75" thickBot="1">
      <c r="A658" s="450" t="s">
        <v>94</v>
      </c>
      <c r="B658" s="450"/>
      <c r="C658" s="436"/>
      <c r="D658" s="436"/>
      <c r="E658" s="436"/>
      <c r="F658" s="436"/>
      <c r="G658" s="436"/>
      <c r="H658" s="436"/>
    </row>
    <row r="659" spans="1:10">
      <c r="A659" s="1345" t="s">
        <v>95</v>
      </c>
      <c r="B659" s="1346"/>
      <c r="C659" s="1347"/>
      <c r="D659" s="438" t="s">
        <v>88</v>
      </c>
      <c r="E659" s="438" t="s">
        <v>89</v>
      </c>
      <c r="F659" s="438" t="s">
        <v>90</v>
      </c>
      <c r="G659" s="439" t="s">
        <v>84</v>
      </c>
      <c r="H659" s="457"/>
    </row>
    <row r="660" spans="1:10">
      <c r="A660" s="458" t="s">
        <v>235</v>
      </c>
      <c r="B660" s="467"/>
      <c r="C660" s="468"/>
      <c r="D660" s="459" t="s">
        <v>268</v>
      </c>
      <c r="E660" s="430">
        <v>25000</v>
      </c>
      <c r="F660" s="440">
        <v>1</v>
      </c>
      <c r="G660" s="432">
        <f>E660*F660</f>
        <v>25000</v>
      </c>
      <c r="H660" s="460"/>
    </row>
    <row r="661" spans="1:10" ht="15.75" thickBot="1">
      <c r="A661" s="1342"/>
      <c r="B661" s="1343"/>
      <c r="C661" s="1344"/>
      <c r="D661" s="475"/>
      <c r="E661" s="433"/>
      <c r="F661" s="434"/>
      <c r="G661" s="441"/>
      <c r="H661" s="460"/>
    </row>
    <row r="662" spans="1:10" ht="15.75" thickBot="1">
      <c r="A662" s="436"/>
      <c r="B662" s="436"/>
      <c r="C662" s="436"/>
      <c r="D662" s="436"/>
      <c r="E662" s="436"/>
      <c r="F662" s="436"/>
      <c r="G662" s="437" t="s">
        <v>86</v>
      </c>
      <c r="H662" s="466">
        <f>SUM(G660:G661)</f>
        <v>25000</v>
      </c>
    </row>
    <row r="663" spans="1:10" ht="15.75" thickBot="1">
      <c r="A663" s="450" t="s">
        <v>96</v>
      </c>
      <c r="B663" s="450"/>
      <c r="C663" s="436"/>
      <c r="D663" s="436"/>
      <c r="E663" s="436"/>
      <c r="F663" s="436"/>
      <c r="G663" s="436"/>
      <c r="H663" s="436"/>
    </row>
    <row r="664" spans="1:10">
      <c r="A664" s="476" t="s">
        <v>97</v>
      </c>
      <c r="B664" s="438"/>
      <c r="C664" s="438" t="s">
        <v>98</v>
      </c>
      <c r="D664" s="438" t="s">
        <v>99</v>
      </c>
      <c r="E664" s="442" t="s">
        <v>100</v>
      </c>
      <c r="F664" s="443" t="s">
        <v>83</v>
      </c>
      <c r="G664" s="444" t="s">
        <v>84</v>
      </c>
      <c r="H664" s="477"/>
    </row>
    <row r="665" spans="1:10">
      <c r="A665" s="478" t="s">
        <v>1109</v>
      </c>
      <c r="B665" s="467"/>
      <c r="C665" s="479">
        <f>+PERSONAL!$E$34</f>
        <v>100000</v>
      </c>
      <c r="D665" s="480">
        <f>PERSONAL!$F$31</f>
        <v>1.7431000000000001</v>
      </c>
      <c r="E665" s="440">
        <f>+D665*C665</f>
        <v>174310</v>
      </c>
      <c r="F665" s="440">
        <v>1.7</v>
      </c>
      <c r="G665" s="445">
        <f>ROUND(E665/F665,0)</f>
        <v>102535</v>
      </c>
      <c r="H665" s="451"/>
    </row>
    <row r="666" spans="1:10">
      <c r="A666" s="478" t="s">
        <v>1110</v>
      </c>
      <c r="B666" s="467"/>
      <c r="C666" s="479">
        <f>+PERSONAL!$E$33</f>
        <v>56800</v>
      </c>
      <c r="D666" s="480">
        <f>PERSONAL!$F$31</f>
        <v>1.7431000000000001</v>
      </c>
      <c r="E666" s="440">
        <f>+D666*C666</f>
        <v>99008.08</v>
      </c>
      <c r="F666" s="440">
        <f>+F665</f>
        <v>1.7</v>
      </c>
      <c r="G666" s="445">
        <f>ROUND(E666/F666,0)</f>
        <v>58240</v>
      </c>
      <c r="H666" s="451"/>
    </row>
    <row r="667" spans="1:10">
      <c r="A667" s="478"/>
      <c r="B667" s="468"/>
      <c r="C667" s="430"/>
      <c r="D667" s="459"/>
      <c r="E667" s="430"/>
      <c r="F667" s="440"/>
      <c r="G667" s="445"/>
      <c r="H667" s="451"/>
    </row>
    <row r="668" spans="1:10">
      <c r="A668" s="478"/>
      <c r="B668" s="468"/>
      <c r="C668" s="430"/>
      <c r="D668" s="459"/>
      <c r="E668" s="430"/>
      <c r="F668" s="440"/>
      <c r="G668" s="445"/>
      <c r="H668" s="451"/>
    </row>
    <row r="669" spans="1:10" ht="15.75" thickBot="1">
      <c r="A669" s="481"/>
      <c r="B669" s="474"/>
      <c r="C669" s="474"/>
      <c r="D669" s="474"/>
      <c r="E669" s="474"/>
      <c r="F669" s="474"/>
      <c r="G669" s="482"/>
      <c r="H669" s="482"/>
    </row>
    <row r="670" spans="1:10" ht="15.75" thickBot="1">
      <c r="A670" s="436"/>
      <c r="B670" s="436"/>
      <c r="C670" s="436"/>
      <c r="D670" s="436"/>
      <c r="E670" s="436"/>
      <c r="F670" s="436"/>
      <c r="G670" s="437" t="s">
        <v>86</v>
      </c>
      <c r="H670" s="466">
        <f>SUM(G665:G669)</f>
        <v>160775</v>
      </c>
      <c r="I670" s="677"/>
    </row>
    <row r="671" spans="1:10" ht="15.75" thickBot="1">
      <c r="A671" s="436"/>
      <c r="B671" s="436"/>
      <c r="C671" s="436"/>
      <c r="D671" s="436"/>
      <c r="E671" s="436"/>
      <c r="F671" s="436"/>
      <c r="G671" s="483"/>
      <c r="H671" s="436"/>
    </row>
    <row r="672" spans="1:10" ht="15.75" thickBot="1">
      <c r="A672" s="436"/>
      <c r="B672" s="436"/>
      <c r="C672" s="436"/>
      <c r="D672" s="436"/>
      <c r="E672" s="484" t="s">
        <v>102</v>
      </c>
      <c r="F672" s="485"/>
      <c r="G672" s="485"/>
      <c r="H672" s="466">
        <f>H649+H657+H662+H670</f>
        <v>655698.75</v>
      </c>
      <c r="J672" s="486"/>
    </row>
    <row r="673" spans="1:10" ht="15.75" thickBot="1">
      <c r="A673" s="450" t="s">
        <v>103</v>
      </c>
      <c r="B673" s="450"/>
      <c r="C673" s="436"/>
      <c r="D673" s="436"/>
      <c r="E673" s="436"/>
      <c r="F673" s="436"/>
      <c r="G673" s="436"/>
      <c r="H673" s="436"/>
    </row>
    <row r="674" spans="1:10">
      <c r="A674" s="487" t="s">
        <v>80</v>
      </c>
      <c r="B674" s="488"/>
      <c r="C674" s="488"/>
      <c r="D674" s="488"/>
      <c r="E674" s="489"/>
      <c r="F674" s="490" t="s">
        <v>104</v>
      </c>
      <c r="G674" s="491" t="s">
        <v>105</v>
      </c>
      <c r="H674" s="457"/>
    </row>
    <row r="675" spans="1:10">
      <c r="A675" s="469" t="s">
        <v>106</v>
      </c>
      <c r="B675" s="467"/>
      <c r="C675" s="467"/>
      <c r="D675" s="467"/>
      <c r="E675" s="468"/>
      <c r="F675" s="492">
        <f>PRESUPUESTO!$E$222</f>
        <v>0.109</v>
      </c>
      <c r="G675" s="493">
        <f>+F675*H672</f>
        <v>71471.163750000007</v>
      </c>
      <c r="H675" s="460"/>
    </row>
    <row r="676" spans="1:10">
      <c r="A676" s="469" t="s">
        <v>107</v>
      </c>
      <c r="B676" s="467"/>
      <c r="C676" s="467"/>
      <c r="D676" s="467"/>
      <c r="E676" s="468"/>
      <c r="F676" s="492">
        <f>PRESUPUESTO!$E$223</f>
        <v>0.05</v>
      </c>
      <c r="G676" s="493">
        <f>+F676*H672</f>
        <v>32784.9375</v>
      </c>
      <c r="H676" s="460"/>
    </row>
    <row r="677" spans="1:10" ht="15.75" thickBot="1">
      <c r="A677" s="472" t="s">
        <v>108</v>
      </c>
      <c r="B677" s="473"/>
      <c r="C677" s="473"/>
      <c r="D677" s="473"/>
      <c r="E677" s="474"/>
      <c r="F677" s="494">
        <v>0</v>
      </c>
      <c r="G677" s="495">
        <f>+F677*H672</f>
        <v>0</v>
      </c>
      <c r="H677" s="465"/>
    </row>
    <row r="678" spans="1:10" ht="15.75" thickBot="1">
      <c r="A678" s="436"/>
      <c r="B678" s="436"/>
      <c r="C678" s="436"/>
      <c r="D678" s="436"/>
      <c r="E678" s="436"/>
      <c r="F678" s="436"/>
      <c r="G678" s="437" t="s">
        <v>86</v>
      </c>
      <c r="H678" s="496">
        <f>SUM(G675:G677)</f>
        <v>104256.10125000001</v>
      </c>
    </row>
    <row r="679" spans="1:10" ht="15.75" thickBot="1">
      <c r="A679" s="436"/>
      <c r="B679" s="436"/>
      <c r="C679" s="436"/>
      <c r="D679" s="436"/>
      <c r="E679" s="436"/>
      <c r="F679" s="436"/>
      <c r="G679" s="436"/>
      <c r="H679" s="436"/>
    </row>
    <row r="680" spans="1:10" ht="15.75" thickBot="1">
      <c r="A680" s="446"/>
      <c r="B680" s="446"/>
      <c r="C680" s="436"/>
      <c r="D680" s="484" t="s">
        <v>109</v>
      </c>
      <c r="E680" s="485"/>
      <c r="F680" s="485"/>
      <c r="G680" s="485"/>
      <c r="H680" s="466">
        <f>ROUND((H672+H678),0)</f>
        <v>759955</v>
      </c>
    </row>
    <row r="682" spans="1:10">
      <c r="A682" s="186" t="s">
        <v>77</v>
      </c>
      <c r="B682" s="446"/>
      <c r="C682" s="446"/>
      <c r="D682" s="446"/>
      <c r="E682" s="446"/>
      <c r="F682" s="446"/>
      <c r="G682" s="446"/>
      <c r="H682" s="446"/>
    </row>
    <row r="683" spans="1:10" ht="15.75" thickBot="1">
      <c r="A683" s="446"/>
      <c r="B683" s="446"/>
      <c r="C683" s="446"/>
      <c r="D683" s="446"/>
      <c r="E683" s="446"/>
      <c r="F683" s="446"/>
      <c r="G683" s="446"/>
      <c r="H683" s="446"/>
    </row>
    <row r="684" spans="1:10">
      <c r="A684" s="1348" t="s">
        <v>213</v>
      </c>
      <c r="B684" s="1349"/>
      <c r="C684" s="1350"/>
      <c r="D684" s="448"/>
      <c r="E684" s="448"/>
      <c r="F684" s="448"/>
      <c r="G684" s="448"/>
      <c r="H684" s="449"/>
    </row>
    <row r="685" spans="1:10">
      <c r="A685" s="1351"/>
      <c r="B685" s="1352"/>
      <c r="C685" s="1353"/>
      <c r="D685" s="436"/>
      <c r="E685" s="450" t="s">
        <v>78</v>
      </c>
      <c r="F685" s="436"/>
      <c r="G685" s="436"/>
      <c r="H685" s="451"/>
    </row>
    <row r="686" spans="1:10" ht="15.75" thickBot="1">
      <c r="A686" s="1354"/>
      <c r="B686" s="1355"/>
      <c r="C686" s="1356"/>
      <c r="D686" s="1360"/>
      <c r="E686" s="1361"/>
      <c r="F686" s="1361"/>
      <c r="G686" s="1361"/>
      <c r="H686" s="1362"/>
    </row>
    <row r="687" spans="1:10">
      <c r="A687" s="455"/>
      <c r="B687" s="436"/>
      <c r="C687" s="436"/>
      <c r="D687" s="436"/>
      <c r="E687" s="436"/>
      <c r="F687" s="436"/>
      <c r="G687" s="436"/>
      <c r="H687" s="436"/>
    </row>
    <row r="688" spans="1:10" s="446" customFormat="1" ht="12.75">
      <c r="A688" s="455" t="s">
        <v>1146</v>
      </c>
      <c r="B688" s="456" t="str">
        <f>+PRESUPUESTO!$B$70</f>
        <v>INSTALACIONES ELÉCTRICAS</v>
      </c>
      <c r="C688" s="436"/>
      <c r="E688" s="456"/>
      <c r="G688" s="456" t="s">
        <v>1123</v>
      </c>
      <c r="H688" s="483" t="s">
        <v>1178</v>
      </c>
      <c r="I688" s="436"/>
      <c r="J688" s="436"/>
    </row>
    <row r="689" spans="1:8" s="931" customFormat="1" ht="52.15" customHeight="1">
      <c r="A689" s="928" t="s">
        <v>1122</v>
      </c>
      <c r="B689" s="1375" t="str">
        <f>VLOOKUP(H688,PRESUPUESTO!$A$18:$F$251,2,FALSE)</f>
        <v>Suministro, Transporte e Instalacion de Reflector LED TIPO ESTACA LED 18W, 50000H, IP66</v>
      </c>
      <c r="C689" s="1375"/>
      <c r="D689" s="1375"/>
      <c r="E689" s="1375"/>
      <c r="F689" s="1375"/>
      <c r="G689" s="929" t="s">
        <v>9</v>
      </c>
      <c r="H689" s="1024" t="str">
        <f>VLOOKUP(H688,PRESUPUESTO!$A$18:$F$251,3,FALSE)</f>
        <v>un</v>
      </c>
    </row>
    <row r="690" spans="1:8">
      <c r="A690" s="456"/>
      <c r="B690" s="456"/>
      <c r="C690" s="436"/>
      <c r="D690" s="456"/>
      <c r="E690" s="456"/>
      <c r="F690" s="456"/>
      <c r="G690" s="456"/>
      <c r="H690" s="436"/>
    </row>
    <row r="691" spans="1:8" ht="15.75" thickBot="1">
      <c r="A691" s="450" t="s">
        <v>79</v>
      </c>
      <c r="B691" s="450"/>
      <c r="C691" s="436"/>
      <c r="D691" s="436"/>
      <c r="E691" s="436"/>
      <c r="F691" s="436"/>
      <c r="G691" s="436"/>
      <c r="H691" s="436"/>
    </row>
    <row r="692" spans="1:8">
      <c r="A692" s="1345" t="s">
        <v>80</v>
      </c>
      <c r="B692" s="1346"/>
      <c r="C692" s="1347"/>
      <c r="D692" s="438" t="s">
        <v>81</v>
      </c>
      <c r="E692" s="438" t="s">
        <v>82</v>
      </c>
      <c r="F692" s="438" t="s">
        <v>83</v>
      </c>
      <c r="G692" s="439" t="s">
        <v>84</v>
      </c>
      <c r="H692" s="457"/>
    </row>
    <row r="693" spans="1:8">
      <c r="A693" s="1357" t="s">
        <v>471</v>
      </c>
      <c r="B693" s="1358"/>
      <c r="C693" s="1359"/>
      <c r="D693" s="459" t="s">
        <v>268</v>
      </c>
      <c r="E693" s="440">
        <f>+H718</f>
        <v>45553</v>
      </c>
      <c r="F693" s="440">
        <v>0.05</v>
      </c>
      <c r="G693" s="432">
        <f>E693*F693</f>
        <v>2277.65</v>
      </c>
      <c r="H693" s="460"/>
    </row>
    <row r="694" spans="1:8">
      <c r="A694" s="1357"/>
      <c r="B694" s="1358"/>
      <c r="C694" s="1359"/>
      <c r="D694" s="461"/>
      <c r="E694" s="462"/>
      <c r="F694" s="440"/>
      <c r="G694" s="432">
        <f>E694*F694</f>
        <v>0</v>
      </c>
      <c r="H694" s="460"/>
    </row>
    <row r="695" spans="1:8" ht="15.75" thickBot="1">
      <c r="A695" s="1342"/>
      <c r="B695" s="1343"/>
      <c r="C695" s="1344"/>
      <c r="D695" s="464"/>
      <c r="E695" s="433"/>
      <c r="F695" s="434"/>
      <c r="G695" s="441">
        <f>E695*F695</f>
        <v>0</v>
      </c>
      <c r="H695" s="465"/>
    </row>
    <row r="696" spans="1:8" ht="15.75" thickBot="1">
      <c r="A696" s="436"/>
      <c r="B696" s="436"/>
      <c r="C696" s="436"/>
      <c r="D696" s="436"/>
      <c r="E696" s="436"/>
      <c r="F696" s="436"/>
      <c r="G696" s="437" t="s">
        <v>86</v>
      </c>
      <c r="H696" s="466">
        <f>SUM(G693:G695)</f>
        <v>2277.65</v>
      </c>
    </row>
    <row r="697" spans="1:8" ht="15.75" thickBot="1">
      <c r="A697" s="450" t="s">
        <v>87</v>
      </c>
      <c r="B697" s="450"/>
      <c r="C697" s="436"/>
      <c r="D697" s="436"/>
      <c r="E697" s="436"/>
      <c r="F697" s="436"/>
      <c r="G697" s="436"/>
      <c r="H697" s="436"/>
    </row>
    <row r="698" spans="1:8">
      <c r="A698" s="1345" t="s">
        <v>80</v>
      </c>
      <c r="B698" s="1346"/>
      <c r="C698" s="1347"/>
      <c r="D698" s="438" t="s">
        <v>88</v>
      </c>
      <c r="E698" s="438" t="s">
        <v>89</v>
      </c>
      <c r="F698" s="438" t="s">
        <v>90</v>
      </c>
      <c r="G698" s="439" t="s">
        <v>84</v>
      </c>
      <c r="H698" s="457"/>
    </row>
    <row r="699" spans="1:8">
      <c r="A699" s="458" t="s">
        <v>483</v>
      </c>
      <c r="B699" s="467"/>
      <c r="C699" s="468"/>
      <c r="D699" s="459" t="s">
        <v>268</v>
      </c>
      <c r="E699" s="430">
        <f>233900</f>
        <v>233900</v>
      </c>
      <c r="F699" s="440">
        <v>1</v>
      </c>
      <c r="G699" s="432">
        <f>E699*F699</f>
        <v>233900</v>
      </c>
      <c r="H699" s="460"/>
    </row>
    <row r="700" spans="1:8">
      <c r="A700" s="469"/>
      <c r="B700" s="467"/>
      <c r="C700" s="468"/>
      <c r="D700" s="459"/>
      <c r="E700" s="470"/>
      <c r="F700" s="440"/>
      <c r="G700" s="432">
        <f>F700*E700</f>
        <v>0</v>
      </c>
      <c r="H700" s="460"/>
    </row>
    <row r="701" spans="1:8">
      <c r="A701" s="469"/>
      <c r="B701" s="467"/>
      <c r="C701" s="471"/>
      <c r="D701" s="459"/>
      <c r="F701" s="431"/>
      <c r="G701" s="432">
        <f>SUM(G698:G700)*C701</f>
        <v>0</v>
      </c>
      <c r="H701" s="460"/>
    </row>
    <row r="702" spans="1:8">
      <c r="A702" s="469"/>
      <c r="B702" s="467"/>
      <c r="C702" s="468"/>
      <c r="D702" s="459"/>
      <c r="E702" s="430"/>
      <c r="F702" s="431"/>
      <c r="G702" s="432"/>
      <c r="H702" s="460"/>
    </row>
    <row r="703" spans="1:8">
      <c r="A703" s="469"/>
      <c r="B703" s="467"/>
      <c r="C703" s="468"/>
      <c r="D703" s="459"/>
      <c r="E703" s="430"/>
      <c r="F703" s="431"/>
      <c r="G703" s="432"/>
      <c r="H703" s="460"/>
    </row>
    <row r="704" spans="1:8" ht="15.75" thickBot="1">
      <c r="A704" s="472"/>
      <c r="B704" s="473"/>
      <c r="C704" s="474"/>
      <c r="D704" s="464"/>
      <c r="E704" s="433"/>
      <c r="F704" s="434"/>
      <c r="G704" s="435"/>
      <c r="H704" s="465"/>
    </row>
    <row r="705" spans="1:10" ht="15.75" thickBot="1">
      <c r="A705" s="436"/>
      <c r="B705" s="436"/>
      <c r="C705" s="436"/>
      <c r="D705" s="436"/>
      <c r="E705" s="436"/>
      <c r="F705" s="436"/>
      <c r="G705" s="437" t="s">
        <v>86</v>
      </c>
      <c r="H705" s="466">
        <f>SUM(G699:G704)</f>
        <v>233900</v>
      </c>
    </row>
    <row r="706" spans="1:10" ht="15.75" thickBot="1">
      <c r="A706" s="450" t="s">
        <v>94</v>
      </c>
      <c r="B706" s="450"/>
      <c r="C706" s="436"/>
      <c r="D706" s="436"/>
      <c r="E706" s="436"/>
      <c r="F706" s="436"/>
      <c r="G706" s="436"/>
      <c r="H706" s="436"/>
    </row>
    <row r="707" spans="1:10">
      <c r="A707" s="1345" t="s">
        <v>95</v>
      </c>
      <c r="B707" s="1346"/>
      <c r="C707" s="1347"/>
      <c r="D707" s="438" t="s">
        <v>88</v>
      </c>
      <c r="E707" s="438" t="s">
        <v>89</v>
      </c>
      <c r="F707" s="438" t="s">
        <v>90</v>
      </c>
      <c r="G707" s="439" t="s">
        <v>84</v>
      </c>
      <c r="H707" s="457"/>
    </row>
    <row r="708" spans="1:10">
      <c r="A708" s="458" t="s">
        <v>673</v>
      </c>
      <c r="B708" s="467"/>
      <c r="C708" s="468"/>
      <c r="D708" s="459" t="s">
        <v>668</v>
      </c>
      <c r="E708" s="430">
        <v>165000</v>
      </c>
      <c r="F708" s="440">
        <f>1/20</f>
        <v>0.05</v>
      </c>
      <c r="G708" s="432">
        <f>E708*F708</f>
        <v>8250</v>
      </c>
      <c r="H708" s="460"/>
    </row>
    <row r="709" spans="1:10" ht="15.75" thickBot="1">
      <c r="A709" s="458" t="s">
        <v>235</v>
      </c>
      <c r="B709" s="467"/>
      <c r="C709" s="468"/>
      <c r="D709" s="459" t="s">
        <v>173</v>
      </c>
      <c r="E709" s="430">
        <v>21500</v>
      </c>
      <c r="F709" s="440">
        <f>+F708*4</f>
        <v>0.2</v>
      </c>
      <c r="G709" s="432">
        <f>E709*F709</f>
        <v>4300</v>
      </c>
      <c r="H709" s="460"/>
    </row>
    <row r="710" spans="1:10" ht="15.75" thickBot="1">
      <c r="A710" s="436"/>
      <c r="B710" s="436"/>
      <c r="C710" s="436"/>
      <c r="D710" s="436"/>
      <c r="E710" s="436"/>
      <c r="F710" s="436"/>
      <c r="G710" s="437" t="s">
        <v>86</v>
      </c>
      <c r="H710" s="466">
        <f>SUM(G708:G709)</f>
        <v>12550</v>
      </c>
      <c r="I710" s="677"/>
    </row>
    <row r="711" spans="1:10" ht="15.75" thickBot="1">
      <c r="A711" s="450" t="s">
        <v>96</v>
      </c>
      <c r="B711" s="450"/>
      <c r="C711" s="436"/>
      <c r="D711" s="436"/>
      <c r="E711" s="436"/>
      <c r="F711" s="436"/>
      <c r="G711" s="436"/>
      <c r="H711" s="436"/>
    </row>
    <row r="712" spans="1:10">
      <c r="A712" s="476" t="s">
        <v>97</v>
      </c>
      <c r="B712" s="438"/>
      <c r="C712" s="438" t="s">
        <v>98</v>
      </c>
      <c r="D712" s="438" t="s">
        <v>99</v>
      </c>
      <c r="E712" s="442" t="s">
        <v>100</v>
      </c>
      <c r="F712" s="443" t="s">
        <v>83</v>
      </c>
      <c r="G712" s="444" t="s">
        <v>84</v>
      </c>
      <c r="H712" s="477"/>
    </row>
    <row r="713" spans="1:10">
      <c r="A713" s="478" t="s">
        <v>1109</v>
      </c>
      <c r="B713" s="467"/>
      <c r="C713" s="479">
        <f>+PERSONAL!$E$34</f>
        <v>100000</v>
      </c>
      <c r="D713" s="480">
        <f>PERSONAL!$F$31</f>
        <v>1.7431000000000001</v>
      </c>
      <c r="E713" s="440">
        <f>+D713*C713</f>
        <v>174310</v>
      </c>
      <c r="F713" s="440">
        <v>6</v>
      </c>
      <c r="G713" s="445">
        <f>ROUND(E713/F713,0)</f>
        <v>29052</v>
      </c>
      <c r="H713" s="451"/>
    </row>
    <row r="714" spans="1:10">
      <c r="A714" s="478" t="s">
        <v>1110</v>
      </c>
      <c r="B714" s="467"/>
      <c r="C714" s="479">
        <f>+PERSONAL!$E$33</f>
        <v>56800</v>
      </c>
      <c r="D714" s="480">
        <f>PERSONAL!$F$31</f>
        <v>1.7431000000000001</v>
      </c>
      <c r="E714" s="440">
        <f>+D714*C714</f>
        <v>99008.08</v>
      </c>
      <c r="F714" s="440">
        <f>+F713</f>
        <v>6</v>
      </c>
      <c r="G714" s="445">
        <f>ROUND(E714/F714,0)</f>
        <v>16501</v>
      </c>
      <c r="H714" s="451"/>
    </row>
    <row r="715" spans="1:10">
      <c r="A715" s="478"/>
      <c r="B715" s="468"/>
      <c r="C715" s="430"/>
      <c r="D715" s="459"/>
      <c r="E715" s="430"/>
      <c r="F715" s="440"/>
      <c r="G715" s="445"/>
      <c r="H715" s="451"/>
    </row>
    <row r="716" spans="1:10">
      <c r="A716" s="478"/>
      <c r="B716" s="468"/>
      <c r="C716" s="430"/>
      <c r="D716" s="459"/>
      <c r="E716" s="430"/>
      <c r="F716" s="440"/>
      <c r="G716" s="445"/>
      <c r="H716" s="451"/>
    </row>
    <row r="717" spans="1:10" ht="15.75" thickBot="1">
      <c r="A717" s="481"/>
      <c r="B717" s="474"/>
      <c r="C717" s="474"/>
      <c r="D717" s="474"/>
      <c r="E717" s="474"/>
      <c r="F717" s="474"/>
      <c r="G717" s="482"/>
      <c r="H717" s="482"/>
    </row>
    <row r="718" spans="1:10" ht="15.75" thickBot="1">
      <c r="A718" s="436"/>
      <c r="B718" s="436"/>
      <c r="C718" s="436"/>
      <c r="D718" s="436"/>
      <c r="E718" s="436"/>
      <c r="F718" s="436"/>
      <c r="G718" s="437" t="s">
        <v>86</v>
      </c>
      <c r="H718" s="466">
        <f>SUM(G713:G717)</f>
        <v>45553</v>
      </c>
      <c r="I718" s="677"/>
    </row>
    <row r="719" spans="1:10" ht="15.75" thickBot="1">
      <c r="A719" s="436"/>
      <c r="B719" s="436"/>
      <c r="C719" s="436"/>
      <c r="D719" s="436"/>
      <c r="E719" s="436"/>
      <c r="F719" s="436"/>
      <c r="G719" s="483"/>
      <c r="H719" s="436"/>
    </row>
    <row r="720" spans="1:10" ht="15.75" thickBot="1">
      <c r="A720" s="436"/>
      <c r="B720" s="436"/>
      <c r="C720" s="436"/>
      <c r="D720" s="436"/>
      <c r="E720" s="484" t="s">
        <v>102</v>
      </c>
      <c r="F720" s="485"/>
      <c r="G720" s="485"/>
      <c r="H720" s="466">
        <f>H696+H705+H710+H718</f>
        <v>294280.65000000002</v>
      </c>
      <c r="J720" s="486"/>
    </row>
    <row r="721" spans="1:10" ht="15.75" thickBot="1">
      <c r="A721" s="450" t="s">
        <v>103</v>
      </c>
      <c r="B721" s="450"/>
      <c r="C721" s="436"/>
      <c r="D721" s="436"/>
      <c r="E721" s="436"/>
      <c r="F721" s="436"/>
      <c r="G721" s="436"/>
      <c r="H721" s="436"/>
    </row>
    <row r="722" spans="1:10">
      <c r="A722" s="487" t="s">
        <v>80</v>
      </c>
      <c r="B722" s="488"/>
      <c r="C722" s="488"/>
      <c r="D722" s="488"/>
      <c r="E722" s="489"/>
      <c r="F722" s="490" t="s">
        <v>104</v>
      </c>
      <c r="G722" s="491" t="s">
        <v>105</v>
      </c>
      <c r="H722" s="457"/>
    </row>
    <row r="723" spans="1:10">
      <c r="A723" s="469" t="s">
        <v>106</v>
      </c>
      <c r="B723" s="467"/>
      <c r="C723" s="467"/>
      <c r="D723" s="467"/>
      <c r="E723" s="468"/>
      <c r="F723" s="492">
        <f>PRESUPUESTO!$E$222</f>
        <v>0.109</v>
      </c>
      <c r="G723" s="493">
        <f>+F723*H720</f>
        <v>32076.590850000004</v>
      </c>
      <c r="H723" s="460"/>
    </row>
    <row r="724" spans="1:10">
      <c r="A724" s="469" t="s">
        <v>107</v>
      </c>
      <c r="B724" s="467"/>
      <c r="C724" s="467"/>
      <c r="D724" s="467"/>
      <c r="E724" s="468"/>
      <c r="F724" s="492">
        <f>PRESUPUESTO!$E$223</f>
        <v>0.05</v>
      </c>
      <c r="G724" s="493">
        <f>+F724*H720</f>
        <v>14714.032500000001</v>
      </c>
      <c r="H724" s="460"/>
    </row>
    <row r="725" spans="1:10" ht="15.75" thickBot="1">
      <c r="A725" s="472" t="s">
        <v>108</v>
      </c>
      <c r="B725" s="473"/>
      <c r="C725" s="473"/>
      <c r="D725" s="473"/>
      <c r="E725" s="474"/>
      <c r="F725" s="494">
        <v>0</v>
      </c>
      <c r="G725" s="495">
        <f>+F725*H720</f>
        <v>0</v>
      </c>
      <c r="H725" s="465"/>
    </row>
    <row r="726" spans="1:10" ht="15.75" thickBot="1">
      <c r="A726" s="436"/>
      <c r="B726" s="436"/>
      <c r="C726" s="436"/>
      <c r="D726" s="436"/>
      <c r="E726" s="436"/>
      <c r="F726" s="436"/>
      <c r="G726" s="437" t="s">
        <v>86</v>
      </c>
      <c r="H726" s="496">
        <f>SUM(G723:G725)</f>
        <v>46790.623350000009</v>
      </c>
    </row>
    <row r="727" spans="1:10" ht="15.75" thickBot="1">
      <c r="A727" s="436"/>
      <c r="B727" s="436"/>
      <c r="C727" s="436"/>
      <c r="D727" s="436"/>
      <c r="E727" s="436"/>
      <c r="F727" s="436"/>
      <c r="G727" s="436"/>
      <c r="H727" s="436"/>
    </row>
    <row r="728" spans="1:10" ht="15.75" thickBot="1">
      <c r="A728" s="446"/>
      <c r="B728" s="446"/>
      <c r="C728" s="436"/>
      <c r="D728" s="484" t="s">
        <v>109</v>
      </c>
      <c r="E728" s="485"/>
      <c r="F728" s="485"/>
      <c r="G728" s="485"/>
      <c r="H728" s="466">
        <f>ROUND((H720+H726),0)</f>
        <v>341071</v>
      </c>
    </row>
    <row r="729" spans="1:10">
      <c r="A729" s="446"/>
      <c r="B729" s="446"/>
      <c r="C729" s="446"/>
      <c r="D729" s="446"/>
      <c r="E729" s="446"/>
      <c r="F729" s="446"/>
      <c r="G729" s="446"/>
      <c r="H729" s="446"/>
    </row>
    <row r="730" spans="1:10">
      <c r="A730" s="186" t="s">
        <v>77</v>
      </c>
      <c r="B730" s="446"/>
      <c r="C730" s="446"/>
      <c r="D730" s="446"/>
      <c r="E730" s="446"/>
      <c r="F730" s="446"/>
      <c r="G730" s="446"/>
      <c r="H730" s="446"/>
    </row>
    <row r="731" spans="1:10" ht="15.75" thickBot="1">
      <c r="A731" s="446"/>
      <c r="B731" s="446"/>
      <c r="C731" s="446"/>
      <c r="D731" s="446"/>
      <c r="E731" s="446"/>
      <c r="F731" s="446"/>
      <c r="G731" s="446"/>
      <c r="H731" s="446"/>
    </row>
    <row r="732" spans="1:10">
      <c r="A732" s="1348" t="s">
        <v>213</v>
      </c>
      <c r="B732" s="1349"/>
      <c r="C732" s="1350"/>
      <c r="D732" s="448"/>
      <c r="E732" s="448"/>
      <c r="F732" s="448"/>
      <c r="G732" s="448"/>
      <c r="H732" s="449"/>
    </row>
    <row r="733" spans="1:10">
      <c r="A733" s="1351"/>
      <c r="B733" s="1352"/>
      <c r="C733" s="1353"/>
      <c r="D733" s="436"/>
      <c r="E733" s="450" t="s">
        <v>78</v>
      </c>
      <c r="F733" s="436"/>
      <c r="G733" s="436"/>
      <c r="H733" s="451"/>
    </row>
    <row r="734" spans="1:10" ht="15.75" thickBot="1">
      <c r="A734" s="1354"/>
      <c r="B734" s="1355"/>
      <c r="C734" s="1356"/>
      <c r="D734" s="1360"/>
      <c r="E734" s="1361"/>
      <c r="F734" s="1361"/>
      <c r="G734" s="1361"/>
      <c r="H734" s="1362"/>
    </row>
    <row r="735" spans="1:10">
      <c r="A735" s="455"/>
      <c r="B735" s="436"/>
      <c r="C735" s="436"/>
      <c r="D735" s="436"/>
      <c r="E735" s="436"/>
      <c r="F735" s="436"/>
      <c r="G735" s="436"/>
      <c r="H735" s="436"/>
    </row>
    <row r="736" spans="1:10" s="446" customFormat="1" ht="12.75">
      <c r="A736" s="455" t="s">
        <v>1146</v>
      </c>
      <c r="B736" s="456" t="str">
        <f>+PRESUPUESTO!$B$70</f>
        <v>INSTALACIONES ELÉCTRICAS</v>
      </c>
      <c r="C736" s="436"/>
      <c r="E736" s="456"/>
      <c r="G736" s="456" t="s">
        <v>1123</v>
      </c>
      <c r="H736" s="483" t="s">
        <v>1179</v>
      </c>
      <c r="I736" s="436"/>
      <c r="J736" s="436"/>
    </row>
    <row r="737" spans="1:9" s="931" customFormat="1" ht="52.15" customHeight="1">
      <c r="A737" s="928" t="s">
        <v>1122</v>
      </c>
      <c r="B737" s="1375" t="str">
        <f>VLOOKUP(H736,PRESUPUESTO!$A$18:$F$251,2,FALSE)</f>
        <v>Suministro, transporte e instalación de materiales para salida eléctrica Normal de Iluminacion 220Vac,incluye cable encauchetado 3x16 PVC/NY 600V 105 °C; Conectores de Resorte y demás accesorios para su correcta instalación y funcionamiento. (3.5 m)</v>
      </c>
      <c r="C737" s="1375"/>
      <c r="D737" s="1375"/>
      <c r="E737" s="1375"/>
      <c r="F737" s="1375"/>
      <c r="G737" s="929" t="s">
        <v>9</v>
      </c>
      <c r="H737" s="1024" t="str">
        <f>VLOOKUP(H736,PRESUPUESTO!$A$18:$F$251,3,FALSE)</f>
        <v>un</v>
      </c>
    </row>
    <row r="738" spans="1:9">
      <c r="A738" s="456"/>
      <c r="B738" s="456"/>
      <c r="C738" s="436"/>
      <c r="D738" s="456"/>
      <c r="E738" s="456"/>
      <c r="F738" s="456"/>
      <c r="G738" s="456"/>
      <c r="H738" s="436"/>
    </row>
    <row r="739" spans="1:9" ht="15.75" thickBot="1">
      <c r="A739" s="450" t="s">
        <v>79</v>
      </c>
      <c r="B739" s="450"/>
      <c r="C739" s="436"/>
      <c r="D739" s="436"/>
      <c r="E739" s="436"/>
      <c r="F739" s="436"/>
      <c r="G739" s="436"/>
      <c r="H739" s="436"/>
    </row>
    <row r="740" spans="1:9">
      <c r="A740" s="1345" t="s">
        <v>80</v>
      </c>
      <c r="B740" s="1346"/>
      <c r="C740" s="1347"/>
      <c r="D740" s="438" t="s">
        <v>81</v>
      </c>
      <c r="E740" s="438" t="s">
        <v>82</v>
      </c>
      <c r="F740" s="438" t="s">
        <v>83</v>
      </c>
      <c r="G740" s="439" t="s">
        <v>84</v>
      </c>
      <c r="H740" s="457"/>
    </row>
    <row r="741" spans="1:9">
      <c r="A741" s="1357" t="s">
        <v>471</v>
      </c>
      <c r="B741" s="1358"/>
      <c r="C741" s="1359"/>
      <c r="D741" s="459" t="s">
        <v>268</v>
      </c>
      <c r="E741" s="440">
        <f>+H766*0.1</f>
        <v>8461.7000000000007</v>
      </c>
      <c r="F741" s="440">
        <v>1</v>
      </c>
      <c r="G741" s="432">
        <f>E741*F741</f>
        <v>8461.7000000000007</v>
      </c>
      <c r="H741" s="460"/>
    </row>
    <row r="742" spans="1:9">
      <c r="A742" s="1357"/>
      <c r="B742" s="1358"/>
      <c r="C742" s="1359"/>
      <c r="D742" s="461"/>
      <c r="E742" s="462"/>
      <c r="F742" s="497"/>
      <c r="G742" s="432">
        <f>E742*F742</f>
        <v>0</v>
      </c>
      <c r="H742" s="460"/>
    </row>
    <row r="743" spans="1:9" ht="15.75" thickBot="1">
      <c r="A743" s="1342"/>
      <c r="B743" s="1343"/>
      <c r="C743" s="1344"/>
      <c r="D743" s="464"/>
      <c r="E743" s="433"/>
      <c r="F743" s="434"/>
      <c r="G743" s="441">
        <f>E743*F743</f>
        <v>0</v>
      </c>
      <c r="H743" s="465"/>
    </row>
    <row r="744" spans="1:9" ht="15.75" thickBot="1">
      <c r="A744" s="436"/>
      <c r="B744" s="436"/>
      <c r="C744" s="436"/>
      <c r="D744" s="436"/>
      <c r="E744" s="436"/>
      <c r="F744" s="436"/>
      <c r="G744" s="437" t="s">
        <v>86</v>
      </c>
      <c r="H744" s="466">
        <f>SUM(G741:G743)</f>
        <v>8461.7000000000007</v>
      </c>
    </row>
    <row r="745" spans="1:9" ht="15.75" thickBot="1">
      <c r="A745" s="450" t="s">
        <v>87</v>
      </c>
      <c r="B745" s="450"/>
      <c r="C745" s="436"/>
      <c r="D745" s="436"/>
      <c r="E745" s="436"/>
      <c r="F745" s="436"/>
      <c r="G745" s="436"/>
      <c r="H745" s="436"/>
    </row>
    <row r="746" spans="1:9">
      <c r="A746" s="1345" t="s">
        <v>80</v>
      </c>
      <c r="B746" s="1346"/>
      <c r="C746" s="1347"/>
      <c r="D746" s="438" t="s">
        <v>88</v>
      </c>
      <c r="E746" s="438" t="s">
        <v>89</v>
      </c>
      <c r="F746" s="438" t="s">
        <v>90</v>
      </c>
      <c r="G746" s="439" t="s">
        <v>84</v>
      </c>
      <c r="H746" s="457"/>
    </row>
    <row r="747" spans="1:9">
      <c r="A747" s="458" t="s">
        <v>443</v>
      </c>
      <c r="B747" s="467"/>
      <c r="C747" s="468"/>
      <c r="D747" s="459" t="s">
        <v>268</v>
      </c>
      <c r="E747" s="430">
        <v>246</v>
      </c>
      <c r="F747" s="440">
        <v>4</v>
      </c>
      <c r="G747" s="432">
        <f t="shared" ref="G747:G752" si="1">E747*F747</f>
        <v>984</v>
      </c>
      <c r="H747" s="460"/>
    </row>
    <row r="748" spans="1:9">
      <c r="A748" s="469" t="s">
        <v>444</v>
      </c>
      <c r="B748" s="467"/>
      <c r="C748" s="468"/>
      <c r="D748" s="459" t="s">
        <v>268</v>
      </c>
      <c r="E748" s="430">
        <v>2100</v>
      </c>
      <c r="F748" s="440">
        <v>1</v>
      </c>
      <c r="G748" s="432">
        <f t="shared" si="1"/>
        <v>2100</v>
      </c>
      <c r="H748" s="460"/>
    </row>
    <row r="749" spans="1:9">
      <c r="A749" s="469" t="s">
        <v>445</v>
      </c>
      <c r="B749" s="467"/>
      <c r="C749" s="471"/>
      <c r="D749" s="459" t="s">
        <v>271</v>
      </c>
      <c r="E749" s="1009">
        <f>5326*1.19</f>
        <v>6337.94</v>
      </c>
      <c r="F749" s="440">
        <f>3.5*1.05</f>
        <v>3.6750000000000003</v>
      </c>
      <c r="G749" s="432">
        <f t="shared" si="1"/>
        <v>23291.929500000002</v>
      </c>
      <c r="H749" s="460"/>
      <c r="I749" s="672"/>
    </row>
    <row r="750" spans="1:9">
      <c r="A750" s="469" t="s">
        <v>446</v>
      </c>
      <c r="B750" s="467"/>
      <c r="C750" s="468"/>
      <c r="D750" s="459" t="s">
        <v>268</v>
      </c>
      <c r="E750" s="430">
        <v>220</v>
      </c>
      <c r="F750" s="440">
        <v>6</v>
      </c>
      <c r="G750" s="432">
        <f t="shared" si="1"/>
        <v>1320</v>
      </c>
      <c r="H750" s="460"/>
    </row>
    <row r="751" spans="1:9">
      <c r="A751" s="469" t="s">
        <v>447</v>
      </c>
      <c r="B751" s="467"/>
      <c r="C751" s="468"/>
      <c r="D751" s="459" t="s">
        <v>268</v>
      </c>
      <c r="E751" s="430">
        <v>4200</v>
      </c>
      <c r="F751" s="440">
        <v>0.02</v>
      </c>
      <c r="G751" s="445">
        <f t="shared" si="1"/>
        <v>84</v>
      </c>
      <c r="H751" s="460"/>
    </row>
    <row r="752" spans="1:9" ht="15.75" thickBot="1">
      <c r="A752" s="472" t="s">
        <v>448</v>
      </c>
      <c r="B752" s="473"/>
      <c r="C752" s="474"/>
      <c r="D752" s="464" t="s">
        <v>268</v>
      </c>
      <c r="E752" s="1014">
        <v>39900</v>
      </c>
      <c r="F752" s="434">
        <v>0.02</v>
      </c>
      <c r="G752" s="441">
        <f t="shared" si="1"/>
        <v>798</v>
      </c>
      <c r="H752" s="465"/>
    </row>
    <row r="753" spans="1:14" ht="15.75" thickBot="1">
      <c r="A753" s="436"/>
      <c r="B753" s="436"/>
      <c r="C753" s="436"/>
      <c r="D753" s="436"/>
      <c r="E753" s="436"/>
      <c r="F753" s="436"/>
      <c r="G753" s="437" t="s">
        <v>86</v>
      </c>
      <c r="H753" s="466">
        <f>SUM(G747:G752)</f>
        <v>28577.929500000002</v>
      </c>
    </row>
    <row r="754" spans="1:14" ht="15.75" thickBot="1">
      <c r="A754" s="450" t="s">
        <v>94</v>
      </c>
      <c r="B754" s="450"/>
      <c r="C754" s="436"/>
      <c r="D754" s="436"/>
      <c r="E754" s="436"/>
      <c r="F754" s="436"/>
      <c r="G754" s="436"/>
      <c r="H754" s="436"/>
    </row>
    <row r="755" spans="1:14">
      <c r="A755" s="1345" t="s">
        <v>95</v>
      </c>
      <c r="B755" s="1346"/>
      <c r="C755" s="1347"/>
      <c r="D755" s="438" t="s">
        <v>88</v>
      </c>
      <c r="E755" s="438" t="s">
        <v>89</v>
      </c>
      <c r="F755" s="438" t="s">
        <v>90</v>
      </c>
      <c r="G755" s="439" t="s">
        <v>84</v>
      </c>
      <c r="H755" s="457"/>
    </row>
    <row r="756" spans="1:14">
      <c r="A756" s="458" t="s">
        <v>235</v>
      </c>
      <c r="B756" s="467"/>
      <c r="C756" s="468"/>
      <c r="D756" s="459" t="s">
        <v>271</v>
      </c>
      <c r="E756" s="430">
        <v>5500</v>
      </c>
      <c r="F756" s="440">
        <v>1</v>
      </c>
      <c r="G756" s="432">
        <f>E756*F756</f>
        <v>5500</v>
      </c>
      <c r="H756" s="460"/>
    </row>
    <row r="757" spans="1:14" ht="15.75" thickBot="1">
      <c r="A757" s="1342"/>
      <c r="B757" s="1343"/>
      <c r="C757" s="1344"/>
      <c r="D757" s="475"/>
      <c r="E757" s="433"/>
      <c r="F757" s="434"/>
      <c r="G757" s="441"/>
      <c r="H757" s="460"/>
      <c r="J757" s="1412" t="s">
        <v>1119</v>
      </c>
      <c r="K757" s="1412"/>
      <c r="L757" s="1412"/>
      <c r="M757" s="1412"/>
      <c r="N757" s="1412"/>
    </row>
    <row r="758" spans="1:14" ht="15.75" thickBot="1">
      <c r="A758" s="436"/>
      <c r="B758" s="436"/>
      <c r="C758" s="436"/>
      <c r="D758" s="436"/>
      <c r="E758" s="436"/>
      <c r="F758" s="436"/>
      <c r="G758" s="437" t="s">
        <v>86</v>
      </c>
      <c r="H758" s="466">
        <f>SUM(G756:G757)</f>
        <v>5500</v>
      </c>
      <c r="I758" s="677"/>
    </row>
    <row r="759" spans="1:14" ht="15.75" thickBot="1">
      <c r="A759" s="450" t="s">
        <v>96</v>
      </c>
      <c r="B759" s="450"/>
      <c r="C759" s="436"/>
      <c r="D759" s="436"/>
      <c r="E759" s="436"/>
      <c r="F759" s="436"/>
      <c r="G759" s="436"/>
      <c r="H759" s="436"/>
    </row>
    <row r="760" spans="1:14">
      <c r="A760" s="476" t="s">
        <v>97</v>
      </c>
      <c r="B760" s="438"/>
      <c r="C760" s="438" t="s">
        <v>98</v>
      </c>
      <c r="D760" s="438" t="s">
        <v>99</v>
      </c>
      <c r="E760" s="442" t="s">
        <v>100</v>
      </c>
      <c r="F760" s="443" t="s">
        <v>83</v>
      </c>
      <c r="G760" s="444" t="s">
        <v>84</v>
      </c>
      <c r="H760" s="477"/>
    </row>
    <row r="761" spans="1:14">
      <c r="A761" s="478" t="s">
        <v>1109</v>
      </c>
      <c r="B761" s="467"/>
      <c r="C761" s="479">
        <f>+PERSONAL!$E$34</f>
        <v>100000</v>
      </c>
      <c r="D761" s="480">
        <f>PERSONAL!$F$31</f>
        <v>1.7431000000000001</v>
      </c>
      <c r="E761" s="440">
        <f>+D761*C761</f>
        <v>174310</v>
      </c>
      <c r="F761" s="440">
        <v>2.06</v>
      </c>
      <c r="G761" s="445">
        <f>ROUND(E761/F761,0)</f>
        <v>84617</v>
      </c>
      <c r="H761" s="451"/>
    </row>
    <row r="762" spans="1:14">
      <c r="A762" s="478"/>
      <c r="B762" s="467"/>
      <c r="C762" s="479"/>
      <c r="D762" s="480"/>
      <c r="E762" s="440"/>
      <c r="F762" s="440"/>
      <c r="G762" s="445"/>
      <c r="H762" s="451"/>
    </row>
    <row r="763" spans="1:14">
      <c r="A763" s="478"/>
      <c r="B763" s="468"/>
      <c r="C763" s="430"/>
      <c r="D763" s="459"/>
      <c r="E763" s="430"/>
      <c r="F763" s="440"/>
      <c r="G763" s="445"/>
      <c r="H763" s="451"/>
    </row>
    <row r="764" spans="1:14">
      <c r="A764" s="478"/>
      <c r="B764" s="468"/>
      <c r="C764" s="430"/>
      <c r="D764" s="459"/>
      <c r="E764" s="430"/>
      <c r="F764" s="440"/>
      <c r="G764" s="445"/>
      <c r="H764" s="451"/>
    </row>
    <row r="765" spans="1:14" ht="15.75" thickBot="1">
      <c r="A765" s="481"/>
      <c r="B765" s="474"/>
      <c r="C765" s="474"/>
      <c r="D765" s="474"/>
      <c r="E765" s="474"/>
      <c r="F765" s="474"/>
      <c r="G765" s="482"/>
      <c r="H765" s="482"/>
    </row>
    <row r="766" spans="1:14" ht="15.75" thickBot="1">
      <c r="A766" s="436"/>
      <c r="B766" s="436"/>
      <c r="C766" s="436"/>
      <c r="D766" s="436"/>
      <c r="E766" s="436"/>
      <c r="F766" s="436"/>
      <c r="G766" s="437" t="s">
        <v>86</v>
      </c>
      <c r="H766" s="466">
        <f>SUM(G761:G765)</f>
        <v>84617</v>
      </c>
    </row>
    <row r="767" spans="1:14" ht="15.75" thickBot="1">
      <c r="A767" s="436"/>
      <c r="B767" s="436"/>
      <c r="C767" s="436"/>
      <c r="D767" s="436"/>
      <c r="E767" s="436"/>
      <c r="F767" s="436"/>
      <c r="G767" s="483"/>
      <c r="H767" s="436"/>
    </row>
    <row r="768" spans="1:14" ht="15.75" thickBot="1">
      <c r="A768" s="436"/>
      <c r="B768" s="436"/>
      <c r="C768" s="436"/>
      <c r="D768" s="436"/>
      <c r="E768" s="484" t="s">
        <v>102</v>
      </c>
      <c r="F768" s="485"/>
      <c r="G768" s="485"/>
      <c r="H768" s="466">
        <f>H744+H753+H758+H766</f>
        <v>127156.62950000001</v>
      </c>
      <c r="J768" s="486"/>
    </row>
    <row r="769" spans="1:10" ht="15.75" thickBot="1">
      <c r="A769" s="450" t="s">
        <v>103</v>
      </c>
      <c r="B769" s="450"/>
      <c r="C769" s="436"/>
      <c r="D769" s="436"/>
      <c r="E769" s="436"/>
      <c r="F769" s="436"/>
      <c r="G769" s="436"/>
      <c r="H769" s="436"/>
    </row>
    <row r="770" spans="1:10">
      <c r="A770" s="487" t="s">
        <v>80</v>
      </c>
      <c r="B770" s="488"/>
      <c r="C770" s="488"/>
      <c r="D770" s="488"/>
      <c r="E770" s="489"/>
      <c r="F770" s="490" t="s">
        <v>104</v>
      </c>
      <c r="G770" s="491" t="s">
        <v>105</v>
      </c>
      <c r="H770" s="457"/>
    </row>
    <row r="771" spans="1:10">
      <c r="A771" s="469" t="s">
        <v>106</v>
      </c>
      <c r="B771" s="467"/>
      <c r="C771" s="467"/>
      <c r="D771" s="467"/>
      <c r="E771" s="468"/>
      <c r="F771" s="492">
        <f>PRESUPUESTO!$E$222</f>
        <v>0.109</v>
      </c>
      <c r="G771" s="493">
        <f>+F771*H768</f>
        <v>13860.072615500001</v>
      </c>
      <c r="H771" s="460"/>
    </row>
    <row r="772" spans="1:10">
      <c r="A772" s="469" t="s">
        <v>107</v>
      </c>
      <c r="B772" s="467"/>
      <c r="C772" s="467"/>
      <c r="D772" s="467"/>
      <c r="E772" s="468"/>
      <c r="F772" s="492">
        <f>PRESUPUESTO!$E$223</f>
        <v>0.05</v>
      </c>
      <c r="G772" s="493">
        <f>+F772*H768</f>
        <v>6357.8314750000009</v>
      </c>
      <c r="H772" s="460"/>
    </row>
    <row r="773" spans="1:10" ht="15.75" thickBot="1">
      <c r="A773" s="472" t="s">
        <v>108</v>
      </c>
      <c r="B773" s="473"/>
      <c r="C773" s="473"/>
      <c r="D773" s="473"/>
      <c r="E773" s="474"/>
      <c r="F773" s="494">
        <v>0</v>
      </c>
      <c r="G773" s="495">
        <f>+F773*H768</f>
        <v>0</v>
      </c>
      <c r="H773" s="465"/>
    </row>
    <row r="774" spans="1:10" ht="15.75" thickBot="1">
      <c r="A774" s="436"/>
      <c r="B774" s="436"/>
      <c r="C774" s="436"/>
      <c r="D774" s="436"/>
      <c r="E774" s="436"/>
      <c r="F774" s="436"/>
      <c r="G774" s="437" t="s">
        <v>86</v>
      </c>
      <c r="H774" s="496">
        <f>SUM(G771:G773)</f>
        <v>20217.9040905</v>
      </c>
    </row>
    <row r="775" spans="1:10" ht="15.75" thickBot="1">
      <c r="A775" s="436"/>
      <c r="B775" s="436"/>
      <c r="C775" s="436"/>
      <c r="D775" s="436"/>
      <c r="E775" s="436"/>
      <c r="F775" s="436"/>
      <c r="G775" s="436"/>
      <c r="H775" s="436"/>
    </row>
    <row r="776" spans="1:10" ht="15.75" thickBot="1">
      <c r="A776" s="446"/>
      <c r="B776" s="446"/>
      <c r="C776" s="436"/>
      <c r="D776" s="484" t="s">
        <v>109</v>
      </c>
      <c r="E776" s="485"/>
      <c r="F776" s="485"/>
      <c r="G776" s="485"/>
      <c r="H776" s="466">
        <f>ROUND((H768+H774),0)</f>
        <v>147375</v>
      </c>
    </row>
    <row r="778" spans="1:10">
      <c r="A778" s="186" t="s">
        <v>77</v>
      </c>
      <c r="B778" s="446"/>
      <c r="C778" s="446"/>
      <c r="D778" s="446"/>
      <c r="E778" s="446"/>
      <c r="F778" s="446"/>
      <c r="G778" s="446"/>
      <c r="H778" s="446"/>
    </row>
    <row r="779" spans="1:10" ht="15.75" thickBot="1">
      <c r="A779" s="446"/>
      <c r="B779" s="446"/>
      <c r="C779" s="446"/>
      <c r="D779" s="446"/>
      <c r="E779" s="446"/>
      <c r="F779" s="446"/>
      <c r="G779" s="446"/>
      <c r="H779" s="446"/>
    </row>
    <row r="780" spans="1:10">
      <c r="A780" s="1348" t="s">
        <v>213</v>
      </c>
      <c r="B780" s="1349"/>
      <c r="C780" s="1350"/>
      <c r="D780" s="448"/>
      <c r="E780" s="448"/>
      <c r="F780" s="448"/>
      <c r="G780" s="448"/>
      <c r="H780" s="449"/>
    </row>
    <row r="781" spans="1:10">
      <c r="A781" s="1351"/>
      <c r="B781" s="1352"/>
      <c r="C781" s="1353"/>
      <c r="D781" s="436"/>
      <c r="E781" s="450" t="s">
        <v>78</v>
      </c>
      <c r="F781" s="436"/>
      <c r="G781" s="436"/>
      <c r="H781" s="451"/>
    </row>
    <row r="782" spans="1:10" ht="15.75" thickBot="1">
      <c r="A782" s="1354"/>
      <c r="B782" s="1355"/>
      <c r="C782" s="1356"/>
      <c r="D782" s="1360"/>
      <c r="E782" s="1361"/>
      <c r="F782" s="1361"/>
      <c r="G782" s="1361"/>
      <c r="H782" s="1362"/>
    </row>
    <row r="783" spans="1:10">
      <c r="A783" s="455"/>
      <c r="B783" s="436"/>
      <c r="C783" s="436"/>
      <c r="D783" s="436"/>
      <c r="E783" s="436"/>
      <c r="F783" s="436"/>
      <c r="G783" s="436"/>
      <c r="H783" s="436"/>
    </row>
    <row r="784" spans="1:10" s="446" customFormat="1" ht="12.75">
      <c r="A784" s="455" t="s">
        <v>1146</v>
      </c>
      <c r="B784" s="456" t="str">
        <f>+PRESUPUESTO!$B$70</f>
        <v>INSTALACIONES ELÉCTRICAS</v>
      </c>
      <c r="C784" s="436"/>
      <c r="E784" s="456"/>
      <c r="G784" s="456" t="s">
        <v>1123</v>
      </c>
      <c r="H784" s="483" t="s">
        <v>1180</v>
      </c>
      <c r="I784" s="436"/>
      <c r="J784" s="436"/>
    </row>
    <row r="785" spans="1:8" s="931" customFormat="1" ht="52.15" customHeight="1">
      <c r="A785" s="928" t="s">
        <v>1122</v>
      </c>
      <c r="B785" s="1375" t="str">
        <f>VLOOKUP(H784,PRESUPUESTO!$A$18:$F$251,2,FALSE)</f>
        <v>Suministro, transporte e instalación de materiales para salida eléctrica Normal de Iluminacion 220Vac,incluye cable encauchetado 3x16 PVC/NY 600V 105 °C; Conectores de Resorte y demás accesorios para su correcta instalación y funcionamiento. (2.5 m)</v>
      </c>
      <c r="C785" s="1375"/>
      <c r="D785" s="1375"/>
      <c r="E785" s="1375"/>
      <c r="F785" s="1375"/>
      <c r="G785" s="929" t="s">
        <v>9</v>
      </c>
      <c r="H785" s="1024" t="str">
        <f>VLOOKUP(H784,PRESUPUESTO!$A$18:$F$251,3,FALSE)</f>
        <v>un</v>
      </c>
    </row>
    <row r="786" spans="1:8">
      <c r="A786" s="456"/>
      <c r="B786" s="456"/>
      <c r="C786" s="436"/>
      <c r="D786" s="456"/>
      <c r="E786" s="456"/>
      <c r="F786" s="456"/>
      <c r="G786" s="456"/>
      <c r="H786" s="436"/>
    </row>
    <row r="787" spans="1:8" ht="15.75" thickBot="1">
      <c r="A787" s="450" t="s">
        <v>79</v>
      </c>
      <c r="B787" s="450"/>
      <c r="C787" s="436"/>
      <c r="D787" s="436"/>
      <c r="E787" s="436"/>
      <c r="F787" s="436"/>
      <c r="G787" s="436"/>
      <c r="H787" s="436"/>
    </row>
    <row r="788" spans="1:8">
      <c r="A788" s="1345" t="s">
        <v>80</v>
      </c>
      <c r="B788" s="1346"/>
      <c r="C788" s="1347"/>
      <c r="D788" s="438" t="s">
        <v>81</v>
      </c>
      <c r="E788" s="438" t="s">
        <v>82</v>
      </c>
      <c r="F788" s="438" t="s">
        <v>83</v>
      </c>
      <c r="G788" s="439" t="s">
        <v>84</v>
      </c>
      <c r="H788" s="457"/>
    </row>
    <row r="789" spans="1:8">
      <c r="A789" s="1357" t="s">
        <v>471</v>
      </c>
      <c r="B789" s="1358"/>
      <c r="C789" s="1359"/>
      <c r="D789" s="459" t="s">
        <v>268</v>
      </c>
      <c r="E789" s="440">
        <f>+H814*0.1</f>
        <v>8300.5</v>
      </c>
      <c r="F789" s="440">
        <v>1</v>
      </c>
      <c r="G789" s="432">
        <f>E789*F789</f>
        <v>8300.5</v>
      </c>
      <c r="H789" s="460"/>
    </row>
    <row r="790" spans="1:8">
      <c r="A790" s="1357"/>
      <c r="B790" s="1358"/>
      <c r="C790" s="1359"/>
      <c r="D790" s="461"/>
      <c r="E790" s="462"/>
      <c r="F790" s="497"/>
      <c r="G790" s="432">
        <f>E790*F790</f>
        <v>0</v>
      </c>
      <c r="H790" s="460"/>
    </row>
    <row r="791" spans="1:8" ht="15.75" thickBot="1">
      <c r="A791" s="1342"/>
      <c r="B791" s="1343"/>
      <c r="C791" s="1344"/>
      <c r="D791" s="464"/>
      <c r="E791" s="433"/>
      <c r="F791" s="434"/>
      <c r="G791" s="441">
        <f>E791*F791</f>
        <v>0</v>
      </c>
      <c r="H791" s="465"/>
    </row>
    <row r="792" spans="1:8" ht="15.75" thickBot="1">
      <c r="A792" s="436"/>
      <c r="B792" s="436"/>
      <c r="C792" s="436"/>
      <c r="D792" s="436"/>
      <c r="E792" s="436"/>
      <c r="F792" s="436"/>
      <c r="G792" s="437" t="s">
        <v>86</v>
      </c>
      <c r="H792" s="466">
        <f>SUM(G789:G791)</f>
        <v>8300.5</v>
      </c>
    </row>
    <row r="793" spans="1:8" ht="15.75" thickBot="1">
      <c r="A793" s="450" t="s">
        <v>87</v>
      </c>
      <c r="B793" s="450"/>
      <c r="C793" s="436"/>
      <c r="D793" s="436"/>
      <c r="E793" s="436"/>
      <c r="F793" s="436"/>
      <c r="G793" s="436"/>
      <c r="H793" s="436"/>
    </row>
    <row r="794" spans="1:8">
      <c r="A794" s="1345" t="s">
        <v>80</v>
      </c>
      <c r="B794" s="1346"/>
      <c r="C794" s="1347"/>
      <c r="D794" s="438" t="s">
        <v>88</v>
      </c>
      <c r="E794" s="438" t="s">
        <v>89</v>
      </c>
      <c r="F794" s="438" t="s">
        <v>90</v>
      </c>
      <c r="G794" s="439" t="s">
        <v>84</v>
      </c>
      <c r="H794" s="457"/>
    </row>
    <row r="795" spans="1:8">
      <c r="A795" s="458" t="s">
        <v>443</v>
      </c>
      <c r="B795" s="467"/>
      <c r="C795" s="468"/>
      <c r="D795" s="459" t="s">
        <v>268</v>
      </c>
      <c r="E795" s="430">
        <v>246</v>
      </c>
      <c r="F795" s="440">
        <v>4</v>
      </c>
      <c r="G795" s="432">
        <f t="shared" ref="G795:G800" si="2">E795*F795</f>
        <v>984</v>
      </c>
      <c r="H795" s="460"/>
    </row>
    <row r="796" spans="1:8">
      <c r="A796" s="469" t="s">
        <v>444</v>
      </c>
      <c r="B796" s="467"/>
      <c r="C796" s="468"/>
      <c r="D796" s="459" t="s">
        <v>268</v>
      </c>
      <c r="E796" s="430">
        <v>2100</v>
      </c>
      <c r="F796" s="440">
        <v>1</v>
      </c>
      <c r="G796" s="432">
        <f t="shared" si="2"/>
        <v>2100</v>
      </c>
      <c r="H796" s="460"/>
    </row>
    <row r="797" spans="1:8">
      <c r="A797" s="469" t="s">
        <v>445</v>
      </c>
      <c r="B797" s="467"/>
      <c r="C797" s="471"/>
      <c r="D797" s="459" t="s">
        <v>271</v>
      </c>
      <c r="E797" s="1009">
        <f>5326*1.19</f>
        <v>6337.94</v>
      </c>
      <c r="F797" s="440">
        <f>2.5*1.05</f>
        <v>2.625</v>
      </c>
      <c r="G797" s="432">
        <f t="shared" si="2"/>
        <v>16637.092499999999</v>
      </c>
      <c r="H797" s="460"/>
    </row>
    <row r="798" spans="1:8">
      <c r="A798" s="469" t="s">
        <v>446</v>
      </c>
      <c r="B798" s="467"/>
      <c r="C798" s="468"/>
      <c r="D798" s="459" t="s">
        <v>268</v>
      </c>
      <c r="E798" s="430">
        <v>220</v>
      </c>
      <c r="F798" s="440">
        <v>6</v>
      </c>
      <c r="G798" s="432">
        <f t="shared" si="2"/>
        <v>1320</v>
      </c>
      <c r="H798" s="460"/>
    </row>
    <row r="799" spans="1:8">
      <c r="A799" s="469" t="s">
        <v>447</v>
      </c>
      <c r="B799" s="467"/>
      <c r="C799" s="468"/>
      <c r="D799" s="459" t="s">
        <v>268</v>
      </c>
      <c r="E799" s="430">
        <v>4200</v>
      </c>
      <c r="F799" s="440">
        <v>0.02</v>
      </c>
      <c r="G799" s="445">
        <f t="shared" si="2"/>
        <v>84</v>
      </c>
      <c r="H799" s="460"/>
    </row>
    <row r="800" spans="1:8" ht="15.75" thickBot="1">
      <c r="A800" s="472" t="s">
        <v>448</v>
      </c>
      <c r="B800" s="473"/>
      <c r="C800" s="474"/>
      <c r="D800" s="464" t="s">
        <v>268</v>
      </c>
      <c r="E800" s="1014">
        <v>39900</v>
      </c>
      <c r="F800" s="434">
        <v>0.02</v>
      </c>
      <c r="G800" s="441">
        <f t="shared" si="2"/>
        <v>798</v>
      </c>
      <c r="H800" s="465"/>
    </row>
    <row r="801" spans="1:10" ht="15.75" thickBot="1">
      <c r="A801" s="436"/>
      <c r="B801" s="436"/>
      <c r="C801" s="436"/>
      <c r="D801" s="436"/>
      <c r="E801" s="436"/>
      <c r="F801" s="436"/>
      <c r="G801" s="437" t="s">
        <v>86</v>
      </c>
      <c r="H801" s="466">
        <f>SUM(G795:G800)</f>
        <v>21923.092499999999</v>
      </c>
    </row>
    <row r="802" spans="1:10" ht="15.75" thickBot="1">
      <c r="A802" s="450" t="s">
        <v>94</v>
      </c>
      <c r="B802" s="450"/>
      <c r="C802" s="436"/>
      <c r="D802" s="436"/>
      <c r="E802" s="436"/>
      <c r="F802" s="436"/>
      <c r="G802" s="436"/>
      <c r="H802" s="436"/>
    </row>
    <row r="803" spans="1:10">
      <c r="A803" s="1345" t="s">
        <v>95</v>
      </c>
      <c r="B803" s="1346"/>
      <c r="C803" s="1347"/>
      <c r="D803" s="438" t="s">
        <v>88</v>
      </c>
      <c r="E803" s="438" t="s">
        <v>89</v>
      </c>
      <c r="F803" s="438" t="s">
        <v>90</v>
      </c>
      <c r="G803" s="439" t="s">
        <v>84</v>
      </c>
      <c r="H803" s="457"/>
    </row>
    <row r="804" spans="1:10">
      <c r="A804" s="458" t="s">
        <v>235</v>
      </c>
      <c r="B804" s="467"/>
      <c r="C804" s="468"/>
      <c r="D804" s="459" t="s">
        <v>271</v>
      </c>
      <c r="E804" s="430">
        <v>5500</v>
      </c>
      <c r="F804" s="440">
        <v>1</v>
      </c>
      <c r="G804" s="432">
        <f>E804*F804</f>
        <v>5500</v>
      </c>
      <c r="H804" s="460"/>
    </row>
    <row r="805" spans="1:10" ht="15.75" thickBot="1">
      <c r="A805" s="1342"/>
      <c r="B805" s="1343"/>
      <c r="C805" s="1344"/>
      <c r="D805" s="475"/>
      <c r="E805" s="433"/>
      <c r="F805" s="434"/>
      <c r="G805" s="441"/>
      <c r="H805" s="460"/>
    </row>
    <row r="806" spans="1:10" ht="15.75" thickBot="1">
      <c r="A806" s="436"/>
      <c r="B806" s="436"/>
      <c r="C806" s="436"/>
      <c r="D806" s="436"/>
      <c r="E806" s="436"/>
      <c r="F806" s="436"/>
      <c r="G806" s="437" t="s">
        <v>86</v>
      </c>
      <c r="H806" s="466">
        <f>SUM(G804:G805)</f>
        <v>5500</v>
      </c>
    </row>
    <row r="807" spans="1:10" ht="15.75" thickBot="1">
      <c r="A807" s="450" t="s">
        <v>96</v>
      </c>
      <c r="B807" s="450"/>
      <c r="C807" s="436"/>
      <c r="D807" s="436"/>
      <c r="E807" s="436"/>
      <c r="F807" s="436"/>
      <c r="G807" s="436"/>
      <c r="H807" s="436"/>
    </row>
    <row r="808" spans="1:10">
      <c r="A808" s="476" t="s">
        <v>97</v>
      </c>
      <c r="B808" s="438"/>
      <c r="C808" s="438" t="s">
        <v>98</v>
      </c>
      <c r="D808" s="438" t="s">
        <v>99</v>
      </c>
      <c r="E808" s="442" t="s">
        <v>100</v>
      </c>
      <c r="F808" s="443" t="s">
        <v>83</v>
      </c>
      <c r="G808" s="444" t="s">
        <v>84</v>
      </c>
      <c r="H808" s="477"/>
    </row>
    <row r="809" spans="1:10">
      <c r="A809" s="478" t="s">
        <v>1109</v>
      </c>
      <c r="B809" s="467"/>
      <c r="C809" s="479">
        <f>+PERSONAL!$E$34</f>
        <v>100000</v>
      </c>
      <c r="D809" s="480">
        <f>PERSONAL!$F$31</f>
        <v>1.7431000000000001</v>
      </c>
      <c r="E809" s="440">
        <f>+D809*C809</f>
        <v>174310</v>
      </c>
      <c r="F809" s="440">
        <v>2.1</v>
      </c>
      <c r="G809" s="445">
        <f>ROUND(E809/F809,0)</f>
        <v>83005</v>
      </c>
      <c r="H809" s="451"/>
    </row>
    <row r="810" spans="1:10">
      <c r="A810" s="478"/>
      <c r="B810" s="467"/>
      <c r="C810" s="479"/>
      <c r="D810" s="480"/>
      <c r="E810" s="440"/>
      <c r="F810" s="440"/>
      <c r="G810" s="445"/>
      <c r="H810" s="451"/>
    </row>
    <row r="811" spans="1:10">
      <c r="A811" s="478"/>
      <c r="B811" s="468"/>
      <c r="C811" s="430"/>
      <c r="D811" s="459"/>
      <c r="E811" s="430"/>
      <c r="F811" s="440"/>
      <c r="G811" s="445"/>
      <c r="H811" s="451"/>
    </row>
    <row r="812" spans="1:10">
      <c r="A812" s="478"/>
      <c r="B812" s="468"/>
      <c r="C812" s="430"/>
      <c r="D812" s="459"/>
      <c r="E812" s="430"/>
      <c r="F812" s="440"/>
      <c r="G812" s="445"/>
      <c r="H812" s="451"/>
    </row>
    <row r="813" spans="1:10" ht="15.75" thickBot="1">
      <c r="A813" s="481"/>
      <c r="B813" s="474"/>
      <c r="C813" s="474"/>
      <c r="D813" s="474"/>
      <c r="E813" s="474"/>
      <c r="F813" s="474"/>
      <c r="G813" s="482"/>
      <c r="H813" s="482"/>
    </row>
    <row r="814" spans="1:10" ht="15.75" thickBot="1">
      <c r="A814" s="436"/>
      <c r="B814" s="436"/>
      <c r="C814" s="436"/>
      <c r="D814" s="436"/>
      <c r="E814" s="436"/>
      <c r="F814" s="436"/>
      <c r="G814" s="437" t="s">
        <v>86</v>
      </c>
      <c r="H814" s="466">
        <f>SUM(G809:G813)</f>
        <v>83005</v>
      </c>
    </row>
    <row r="815" spans="1:10" ht="15.75" thickBot="1">
      <c r="A815" s="436"/>
      <c r="B815" s="436"/>
      <c r="C815" s="436"/>
      <c r="D815" s="436"/>
      <c r="E815" s="436"/>
      <c r="F815" s="436"/>
      <c r="G815" s="483"/>
      <c r="H815" s="436"/>
    </row>
    <row r="816" spans="1:10" ht="15.75" thickBot="1">
      <c r="A816" s="436"/>
      <c r="B816" s="436"/>
      <c r="C816" s="436"/>
      <c r="D816" s="436"/>
      <c r="E816" s="484" t="s">
        <v>102</v>
      </c>
      <c r="F816" s="485"/>
      <c r="G816" s="485"/>
      <c r="H816" s="466">
        <f>H792+H801+H806+H814</f>
        <v>118728.5925</v>
      </c>
      <c r="J816" s="486"/>
    </row>
    <row r="817" spans="1:10" ht="15.75" thickBot="1">
      <c r="A817" s="450" t="s">
        <v>103</v>
      </c>
      <c r="B817" s="450"/>
      <c r="C817" s="436"/>
      <c r="D817" s="436"/>
      <c r="E817" s="436"/>
      <c r="F817" s="436"/>
      <c r="G817" s="436"/>
      <c r="H817" s="436"/>
    </row>
    <row r="818" spans="1:10">
      <c r="A818" s="487" t="s">
        <v>80</v>
      </c>
      <c r="B818" s="488"/>
      <c r="C818" s="488"/>
      <c r="D818" s="488"/>
      <c r="E818" s="489"/>
      <c r="F818" s="490" t="s">
        <v>104</v>
      </c>
      <c r="G818" s="491" t="s">
        <v>105</v>
      </c>
      <c r="H818" s="457"/>
    </row>
    <row r="819" spans="1:10">
      <c r="A819" s="469" t="s">
        <v>106</v>
      </c>
      <c r="B819" s="467"/>
      <c r="C819" s="467"/>
      <c r="D819" s="467"/>
      <c r="E819" s="468"/>
      <c r="F819" s="492">
        <f>PRESUPUESTO!$E$222</f>
        <v>0.109</v>
      </c>
      <c r="G819" s="493">
        <f>+F819*H816</f>
        <v>12941.4165825</v>
      </c>
      <c r="H819" s="460"/>
    </row>
    <row r="820" spans="1:10">
      <c r="A820" s="469" t="s">
        <v>107</v>
      </c>
      <c r="B820" s="467"/>
      <c r="C820" s="467"/>
      <c r="D820" s="467"/>
      <c r="E820" s="468"/>
      <c r="F820" s="492">
        <f>PRESUPUESTO!$E$223</f>
        <v>0.05</v>
      </c>
      <c r="G820" s="493">
        <f>+F820*H816</f>
        <v>5936.4296250000007</v>
      </c>
      <c r="H820" s="460"/>
    </row>
    <row r="821" spans="1:10" ht="15.75" thickBot="1">
      <c r="A821" s="472" t="s">
        <v>108</v>
      </c>
      <c r="B821" s="473"/>
      <c r="C821" s="473"/>
      <c r="D821" s="473"/>
      <c r="E821" s="474"/>
      <c r="F821" s="494">
        <v>0</v>
      </c>
      <c r="G821" s="495">
        <f>+F821*H816</f>
        <v>0</v>
      </c>
      <c r="H821" s="465"/>
    </row>
    <row r="822" spans="1:10" ht="15.75" thickBot="1">
      <c r="A822" s="436"/>
      <c r="B822" s="436"/>
      <c r="C822" s="436"/>
      <c r="D822" s="436"/>
      <c r="E822" s="436"/>
      <c r="F822" s="436"/>
      <c r="G822" s="437" t="s">
        <v>86</v>
      </c>
      <c r="H822" s="496">
        <f>SUM(G819:G821)</f>
        <v>18877.846207499999</v>
      </c>
    </row>
    <row r="823" spans="1:10" ht="15.75" thickBot="1">
      <c r="A823" s="436"/>
      <c r="B823" s="436"/>
      <c r="C823" s="436"/>
      <c r="D823" s="436"/>
      <c r="E823" s="436"/>
      <c r="F823" s="436"/>
      <c r="G823" s="436"/>
      <c r="H823" s="436"/>
    </row>
    <row r="824" spans="1:10" ht="15.75" thickBot="1">
      <c r="A824" s="446"/>
      <c r="B824" s="446"/>
      <c r="C824" s="436"/>
      <c r="D824" s="484" t="s">
        <v>109</v>
      </c>
      <c r="E824" s="485"/>
      <c r="F824" s="485"/>
      <c r="G824" s="485"/>
      <c r="H824" s="466">
        <f>ROUND((H816+H822),0)</f>
        <v>137606</v>
      </c>
    </row>
    <row r="825" spans="1:10">
      <c r="A825" s="446"/>
      <c r="B825" s="446"/>
      <c r="C825" s="446"/>
      <c r="D825" s="446"/>
      <c r="E825" s="446"/>
      <c r="F825" s="446"/>
      <c r="G825" s="446"/>
      <c r="H825" s="446"/>
    </row>
    <row r="826" spans="1:10">
      <c r="A826" s="186" t="s">
        <v>77</v>
      </c>
      <c r="B826" s="446"/>
      <c r="C826" s="446"/>
      <c r="D826" s="446"/>
      <c r="E826" s="446"/>
      <c r="F826" s="446"/>
      <c r="G826" s="446"/>
      <c r="H826" s="446"/>
    </row>
    <row r="827" spans="1:10" ht="15.75" thickBot="1">
      <c r="A827" s="446"/>
      <c r="B827" s="446"/>
      <c r="C827" s="446"/>
      <c r="D827" s="446"/>
      <c r="E827" s="446"/>
      <c r="F827" s="446"/>
      <c r="G827" s="446"/>
      <c r="H827" s="446"/>
    </row>
    <row r="828" spans="1:10">
      <c r="A828" s="1348" t="s">
        <v>213</v>
      </c>
      <c r="B828" s="1349"/>
      <c r="C828" s="1350"/>
      <c r="D828" s="448"/>
      <c r="E828" s="448"/>
      <c r="F828" s="448"/>
      <c r="G828" s="448"/>
      <c r="H828" s="449"/>
    </row>
    <row r="829" spans="1:10">
      <c r="A829" s="1351"/>
      <c r="B829" s="1352"/>
      <c r="C829" s="1353"/>
      <c r="D829" s="436"/>
      <c r="E829" s="450" t="s">
        <v>78</v>
      </c>
      <c r="F829" s="436"/>
      <c r="G829" s="436"/>
      <c r="H829" s="451"/>
    </row>
    <row r="830" spans="1:10" ht="15.75" thickBot="1">
      <c r="A830" s="1354"/>
      <c r="B830" s="1355"/>
      <c r="C830" s="1356"/>
      <c r="D830" s="1360"/>
      <c r="E830" s="1361"/>
      <c r="F830" s="1361"/>
      <c r="G830" s="1361"/>
      <c r="H830" s="1362"/>
    </row>
    <row r="831" spans="1:10">
      <c r="A831" s="455"/>
      <c r="B831" s="436"/>
      <c r="C831" s="436"/>
      <c r="D831" s="436"/>
      <c r="E831" s="436"/>
      <c r="F831" s="436"/>
      <c r="G831" s="436"/>
      <c r="H831" s="436"/>
    </row>
    <row r="832" spans="1:10" s="446" customFormat="1" ht="12.75">
      <c r="A832" s="455" t="s">
        <v>1146</v>
      </c>
      <c r="B832" s="456" t="str">
        <f>+PRESUPUESTO!$B$70</f>
        <v>INSTALACIONES ELÉCTRICAS</v>
      </c>
      <c r="C832" s="436"/>
      <c r="E832" s="456"/>
      <c r="G832" s="456" t="s">
        <v>1123</v>
      </c>
      <c r="H832" s="483" t="s">
        <v>1181</v>
      </c>
      <c r="I832" s="436"/>
      <c r="J832" s="436"/>
    </row>
    <row r="833" spans="1:8" s="931" customFormat="1" ht="52.15" customHeight="1">
      <c r="A833" s="928" t="s">
        <v>1122</v>
      </c>
      <c r="B833" s="1375" t="str">
        <f>VLOOKUP(H832,PRESUPUESTO!$A$18:$F$251,2,FALSE)</f>
        <v>Suministro, transporte e instalación de materiales para salida eléctrica Normal de Iluminacion 220Vac,incluye cable encauchetado 3x16 PVC/NY 600V 105 °C; Conectores de Resorte y demás accesorios para su correcta instalación y funcionamiento. (3 m)</v>
      </c>
      <c r="C833" s="1375"/>
      <c r="D833" s="1375"/>
      <c r="E833" s="1375"/>
      <c r="F833" s="1375"/>
      <c r="G833" s="929" t="s">
        <v>9</v>
      </c>
      <c r="H833" s="1024" t="str">
        <f>VLOOKUP(H832,PRESUPUESTO!$A$18:$F$251,3,FALSE)</f>
        <v>un</v>
      </c>
    </row>
    <row r="834" spans="1:8">
      <c r="A834" s="456"/>
      <c r="B834" s="456"/>
      <c r="C834" s="436"/>
      <c r="D834" s="456"/>
      <c r="E834" s="456"/>
      <c r="F834" s="456"/>
      <c r="G834" s="456"/>
      <c r="H834" s="436"/>
    </row>
    <row r="835" spans="1:8" ht="15.75" thickBot="1">
      <c r="A835" s="450" t="s">
        <v>79</v>
      </c>
      <c r="B835" s="450"/>
      <c r="C835" s="436"/>
      <c r="D835" s="436"/>
      <c r="E835" s="436"/>
      <c r="F835" s="436"/>
      <c r="G835" s="436"/>
      <c r="H835" s="436"/>
    </row>
    <row r="836" spans="1:8">
      <c r="A836" s="1345" t="s">
        <v>80</v>
      </c>
      <c r="B836" s="1346"/>
      <c r="C836" s="1347"/>
      <c r="D836" s="438" t="s">
        <v>81</v>
      </c>
      <c r="E836" s="438" t="s">
        <v>82</v>
      </c>
      <c r="F836" s="438" t="s">
        <v>83</v>
      </c>
      <c r="G836" s="439" t="s">
        <v>84</v>
      </c>
      <c r="H836" s="457"/>
    </row>
    <row r="837" spans="1:8">
      <c r="A837" s="1357" t="s">
        <v>471</v>
      </c>
      <c r="B837" s="1358"/>
      <c r="C837" s="1359"/>
      <c r="D837" s="459" t="s">
        <v>268</v>
      </c>
      <c r="E837" s="440">
        <f>+H862*0.1</f>
        <v>8461.7000000000007</v>
      </c>
      <c r="F837" s="440">
        <v>1</v>
      </c>
      <c r="G837" s="432">
        <f>E837*F837</f>
        <v>8461.7000000000007</v>
      </c>
      <c r="H837" s="460"/>
    </row>
    <row r="838" spans="1:8">
      <c r="A838" s="1357"/>
      <c r="B838" s="1358"/>
      <c r="C838" s="1359"/>
      <c r="D838" s="461"/>
      <c r="E838" s="462"/>
      <c r="F838" s="497"/>
      <c r="G838" s="432">
        <f>E838*F838</f>
        <v>0</v>
      </c>
      <c r="H838" s="460"/>
    </row>
    <row r="839" spans="1:8" ht="15.75" thickBot="1">
      <c r="A839" s="1342"/>
      <c r="B839" s="1343"/>
      <c r="C839" s="1344"/>
      <c r="D839" s="464"/>
      <c r="E839" s="433"/>
      <c r="F839" s="434"/>
      <c r="G839" s="441">
        <f>E839*F839</f>
        <v>0</v>
      </c>
      <c r="H839" s="465"/>
    </row>
    <row r="840" spans="1:8" ht="15.75" thickBot="1">
      <c r="A840" s="436"/>
      <c r="B840" s="436"/>
      <c r="C840" s="436"/>
      <c r="D840" s="436"/>
      <c r="E840" s="436"/>
      <c r="F840" s="436"/>
      <c r="G840" s="437" t="s">
        <v>86</v>
      </c>
      <c r="H840" s="466">
        <f>SUM(G837:G839)</f>
        <v>8461.7000000000007</v>
      </c>
    </row>
    <row r="841" spans="1:8" ht="15.75" thickBot="1">
      <c r="A841" s="450" t="s">
        <v>87</v>
      </c>
      <c r="B841" s="450"/>
      <c r="C841" s="436"/>
      <c r="D841" s="436"/>
      <c r="E841" s="436"/>
      <c r="F841" s="436"/>
      <c r="G841" s="436"/>
      <c r="H841" s="436"/>
    </row>
    <row r="842" spans="1:8">
      <c r="A842" s="1345" t="s">
        <v>80</v>
      </c>
      <c r="B842" s="1346"/>
      <c r="C842" s="1347"/>
      <c r="D842" s="438" t="s">
        <v>88</v>
      </c>
      <c r="E842" s="438" t="s">
        <v>89</v>
      </c>
      <c r="F842" s="438" t="s">
        <v>90</v>
      </c>
      <c r="G842" s="439" t="s">
        <v>84</v>
      </c>
      <c r="H842" s="457"/>
    </row>
    <row r="843" spans="1:8">
      <c r="A843" s="458" t="s">
        <v>443</v>
      </c>
      <c r="B843" s="467"/>
      <c r="C843" s="468"/>
      <c r="D843" s="459" t="s">
        <v>268</v>
      </c>
      <c r="E843" s="430">
        <v>246</v>
      </c>
      <c r="F843" s="440">
        <v>4</v>
      </c>
      <c r="G843" s="432">
        <f t="shared" ref="G843:G848" si="3">E843*F843</f>
        <v>984</v>
      </c>
      <c r="H843" s="460"/>
    </row>
    <row r="844" spans="1:8">
      <c r="A844" s="469" t="s">
        <v>444</v>
      </c>
      <c r="B844" s="467"/>
      <c r="C844" s="468"/>
      <c r="D844" s="459" t="s">
        <v>268</v>
      </c>
      <c r="E844" s="430">
        <v>2100</v>
      </c>
      <c r="F844" s="440">
        <v>1</v>
      </c>
      <c r="G844" s="432">
        <f t="shared" si="3"/>
        <v>2100</v>
      </c>
      <c r="H844" s="460"/>
    </row>
    <row r="845" spans="1:8">
      <c r="A845" s="469" t="s">
        <v>445</v>
      </c>
      <c r="B845" s="467"/>
      <c r="C845" s="471"/>
      <c r="D845" s="459" t="s">
        <v>271</v>
      </c>
      <c r="E845" s="1009">
        <f>5326*1.19</f>
        <v>6337.94</v>
      </c>
      <c r="F845" s="440">
        <f>3*1.05</f>
        <v>3.1500000000000004</v>
      </c>
      <c r="G845" s="432">
        <f t="shared" si="3"/>
        <v>19964.511000000002</v>
      </c>
      <c r="H845" s="460"/>
    </row>
    <row r="846" spans="1:8">
      <c r="A846" s="469" t="s">
        <v>446</v>
      </c>
      <c r="B846" s="467"/>
      <c r="C846" s="468"/>
      <c r="D846" s="459" t="s">
        <v>268</v>
      </c>
      <c r="E846" s="430">
        <v>220</v>
      </c>
      <c r="F846" s="440">
        <v>6</v>
      </c>
      <c r="G846" s="432">
        <f t="shared" si="3"/>
        <v>1320</v>
      </c>
      <c r="H846" s="460"/>
    </row>
    <row r="847" spans="1:8">
      <c r="A847" s="469" t="s">
        <v>447</v>
      </c>
      <c r="B847" s="467"/>
      <c r="C847" s="468"/>
      <c r="D847" s="459" t="s">
        <v>268</v>
      </c>
      <c r="E847" s="430">
        <v>4200</v>
      </c>
      <c r="F847" s="440">
        <v>0.02</v>
      </c>
      <c r="G847" s="445">
        <f t="shared" si="3"/>
        <v>84</v>
      </c>
      <c r="H847" s="460"/>
    </row>
    <row r="848" spans="1:8" ht="15.75" thickBot="1">
      <c r="A848" s="472" t="s">
        <v>448</v>
      </c>
      <c r="B848" s="473"/>
      <c r="C848" s="474"/>
      <c r="D848" s="464" t="s">
        <v>268</v>
      </c>
      <c r="E848" s="1014">
        <v>39900</v>
      </c>
      <c r="F848" s="434">
        <v>0.02</v>
      </c>
      <c r="G848" s="441">
        <f t="shared" si="3"/>
        <v>798</v>
      </c>
      <c r="H848" s="465"/>
    </row>
    <row r="849" spans="1:10" ht="15.75" thickBot="1">
      <c r="A849" s="436"/>
      <c r="B849" s="436"/>
      <c r="C849" s="436"/>
      <c r="D849" s="436"/>
      <c r="E849" s="436"/>
      <c r="F849" s="436"/>
      <c r="G849" s="437" t="s">
        <v>86</v>
      </c>
      <c r="H849" s="466">
        <f>SUM(G843:G848)</f>
        <v>25250.511000000002</v>
      </c>
    </row>
    <row r="850" spans="1:10" ht="15.75" thickBot="1">
      <c r="A850" s="450" t="s">
        <v>94</v>
      </c>
      <c r="B850" s="450"/>
      <c r="C850" s="436"/>
      <c r="D850" s="436"/>
      <c r="E850" s="436"/>
      <c r="F850" s="436"/>
      <c r="G850" s="436"/>
      <c r="H850" s="436"/>
    </row>
    <row r="851" spans="1:10">
      <c r="A851" s="1345" t="s">
        <v>95</v>
      </c>
      <c r="B851" s="1346"/>
      <c r="C851" s="1347"/>
      <c r="D851" s="438" t="s">
        <v>88</v>
      </c>
      <c r="E851" s="438" t="s">
        <v>89</v>
      </c>
      <c r="F851" s="438" t="s">
        <v>90</v>
      </c>
      <c r="G851" s="439" t="s">
        <v>84</v>
      </c>
      <c r="H851" s="457"/>
    </row>
    <row r="852" spans="1:10">
      <c r="A852" s="458" t="s">
        <v>235</v>
      </c>
      <c r="B852" s="467"/>
      <c r="C852" s="468"/>
      <c r="D852" s="459" t="s">
        <v>271</v>
      </c>
      <c r="E852" s="430">
        <v>5500</v>
      </c>
      <c r="F852" s="440">
        <v>1</v>
      </c>
      <c r="G852" s="432">
        <f>E852*F852</f>
        <v>5500</v>
      </c>
      <c r="H852" s="460"/>
    </row>
    <row r="853" spans="1:10" ht="15.75" thickBot="1">
      <c r="A853" s="1342"/>
      <c r="B853" s="1343"/>
      <c r="C853" s="1344"/>
      <c r="D853" s="475"/>
      <c r="E853" s="433"/>
      <c r="F853" s="434"/>
      <c r="G853" s="441"/>
      <c r="H853" s="460"/>
    </row>
    <row r="854" spans="1:10" ht="15.75" thickBot="1">
      <c r="A854" s="436"/>
      <c r="B854" s="436"/>
      <c r="C854" s="436"/>
      <c r="D854" s="436"/>
      <c r="E854" s="436"/>
      <c r="F854" s="436"/>
      <c r="G854" s="437" t="s">
        <v>86</v>
      </c>
      <c r="H854" s="466">
        <f>SUM(G852:G853)</f>
        <v>5500</v>
      </c>
    </row>
    <row r="855" spans="1:10" ht="15.75" thickBot="1">
      <c r="A855" s="450" t="s">
        <v>96</v>
      </c>
      <c r="B855" s="450"/>
      <c r="C855" s="436"/>
      <c r="D855" s="436"/>
      <c r="E855" s="436"/>
      <c r="F855" s="436"/>
      <c r="G855" s="436"/>
      <c r="H855" s="436"/>
    </row>
    <row r="856" spans="1:10">
      <c r="A856" s="476" t="s">
        <v>97</v>
      </c>
      <c r="B856" s="438"/>
      <c r="C856" s="438" t="s">
        <v>98</v>
      </c>
      <c r="D856" s="438" t="s">
        <v>99</v>
      </c>
      <c r="E856" s="442" t="s">
        <v>100</v>
      </c>
      <c r="F856" s="443" t="s">
        <v>83</v>
      </c>
      <c r="G856" s="444" t="s">
        <v>84</v>
      </c>
      <c r="H856" s="477"/>
    </row>
    <row r="857" spans="1:10">
      <c r="A857" s="478" t="s">
        <v>1109</v>
      </c>
      <c r="B857" s="467"/>
      <c r="C857" s="479">
        <f>+PERSONAL!$E$34</f>
        <v>100000</v>
      </c>
      <c r="D857" s="480">
        <f>PERSONAL!$F$31</f>
        <v>1.7431000000000001</v>
      </c>
      <c r="E857" s="440">
        <f>+D857*C857</f>
        <v>174310</v>
      </c>
      <c r="F857" s="440">
        <v>2.06</v>
      </c>
      <c r="G857" s="445">
        <f>ROUND(E857/F857,0)</f>
        <v>84617</v>
      </c>
      <c r="H857" s="451"/>
    </row>
    <row r="858" spans="1:10">
      <c r="A858" s="478"/>
      <c r="B858" s="467"/>
      <c r="C858" s="479"/>
      <c r="D858" s="480"/>
      <c r="E858" s="440"/>
      <c r="F858" s="440"/>
      <c r="G858" s="445"/>
      <c r="H858" s="451"/>
    </row>
    <row r="859" spans="1:10">
      <c r="A859" s="478"/>
      <c r="B859" s="468"/>
      <c r="C859" s="430"/>
      <c r="D859" s="459"/>
      <c r="E859" s="430"/>
      <c r="F859" s="440"/>
      <c r="G859" s="445"/>
      <c r="H859" s="451"/>
    </row>
    <row r="860" spans="1:10">
      <c r="A860" s="478"/>
      <c r="B860" s="468"/>
      <c r="C860" s="430"/>
      <c r="D860" s="459"/>
      <c r="E860" s="430"/>
      <c r="F860" s="440"/>
      <c r="G860" s="445"/>
      <c r="H860" s="451"/>
    </row>
    <row r="861" spans="1:10" ht="15.75" thickBot="1">
      <c r="A861" s="481"/>
      <c r="B861" s="474"/>
      <c r="C861" s="474"/>
      <c r="D861" s="474"/>
      <c r="E861" s="474"/>
      <c r="F861" s="474"/>
      <c r="G861" s="482"/>
      <c r="H861" s="482"/>
    </row>
    <row r="862" spans="1:10" ht="15.75" thickBot="1">
      <c r="A862" s="436"/>
      <c r="B862" s="436"/>
      <c r="C862" s="436"/>
      <c r="D862" s="436"/>
      <c r="E862" s="436"/>
      <c r="F862" s="436"/>
      <c r="G862" s="437" t="s">
        <v>86</v>
      </c>
      <c r="H862" s="466">
        <f>SUM(G857:G861)</f>
        <v>84617</v>
      </c>
    </row>
    <row r="863" spans="1:10" ht="15.75" thickBot="1">
      <c r="A863" s="436"/>
      <c r="B863" s="436"/>
      <c r="C863" s="436"/>
      <c r="D863" s="436"/>
      <c r="E863" s="436"/>
      <c r="F863" s="436"/>
      <c r="G863" s="483"/>
      <c r="H863" s="436"/>
    </row>
    <row r="864" spans="1:10" ht="15.75" thickBot="1">
      <c r="A864" s="436"/>
      <c r="B864" s="436"/>
      <c r="C864" s="436"/>
      <c r="D864" s="436"/>
      <c r="E864" s="484" t="s">
        <v>102</v>
      </c>
      <c r="F864" s="485"/>
      <c r="G864" s="485"/>
      <c r="H864" s="466">
        <f>H840+H849+H854+H862</f>
        <v>123829.21100000001</v>
      </c>
      <c r="J864" s="486"/>
    </row>
    <row r="865" spans="1:10" ht="15.75" thickBot="1">
      <c r="A865" s="450" t="s">
        <v>103</v>
      </c>
      <c r="B865" s="450"/>
      <c r="C865" s="436"/>
      <c r="D865" s="436"/>
      <c r="E865" s="436"/>
      <c r="F865" s="436"/>
      <c r="G865" s="436"/>
      <c r="H865" s="436"/>
    </row>
    <row r="866" spans="1:10">
      <c r="A866" s="487" t="s">
        <v>80</v>
      </c>
      <c r="B866" s="488"/>
      <c r="C866" s="488"/>
      <c r="D866" s="488"/>
      <c r="E866" s="489"/>
      <c r="F866" s="490" t="s">
        <v>104</v>
      </c>
      <c r="G866" s="491" t="s">
        <v>105</v>
      </c>
      <c r="H866" s="457"/>
    </row>
    <row r="867" spans="1:10">
      <c r="A867" s="469" t="s">
        <v>106</v>
      </c>
      <c r="B867" s="467"/>
      <c r="C867" s="467"/>
      <c r="D867" s="467"/>
      <c r="E867" s="468"/>
      <c r="F867" s="492">
        <f>PRESUPUESTO!$E$222</f>
        <v>0.109</v>
      </c>
      <c r="G867" s="493">
        <f>+F867*H864</f>
        <v>13497.383999000001</v>
      </c>
      <c r="H867" s="460"/>
    </row>
    <row r="868" spans="1:10">
      <c r="A868" s="469" t="s">
        <v>107</v>
      </c>
      <c r="B868" s="467"/>
      <c r="C868" s="467"/>
      <c r="D868" s="467"/>
      <c r="E868" s="468"/>
      <c r="F868" s="492">
        <f>PRESUPUESTO!$E$223</f>
        <v>0.05</v>
      </c>
      <c r="G868" s="493">
        <f>+F868*H864</f>
        <v>6191.4605500000007</v>
      </c>
      <c r="H868" s="460"/>
    </row>
    <row r="869" spans="1:10" ht="15.75" thickBot="1">
      <c r="A869" s="472" t="s">
        <v>108</v>
      </c>
      <c r="B869" s="473"/>
      <c r="C869" s="473"/>
      <c r="D869" s="473"/>
      <c r="E869" s="474"/>
      <c r="F869" s="494">
        <v>0</v>
      </c>
      <c r="G869" s="495">
        <f>+F869*H864</f>
        <v>0</v>
      </c>
      <c r="H869" s="465"/>
    </row>
    <row r="870" spans="1:10" ht="15.75" thickBot="1">
      <c r="A870" s="436"/>
      <c r="B870" s="436"/>
      <c r="C870" s="436"/>
      <c r="D870" s="436"/>
      <c r="E870" s="436"/>
      <c r="F870" s="436"/>
      <c r="G870" s="437" t="s">
        <v>86</v>
      </c>
      <c r="H870" s="496">
        <f>SUM(G867:G869)</f>
        <v>19688.844549000001</v>
      </c>
    </row>
    <row r="871" spans="1:10" ht="15.75" thickBot="1">
      <c r="A871" s="436"/>
      <c r="B871" s="436"/>
      <c r="C871" s="436"/>
      <c r="D871" s="436"/>
      <c r="E871" s="436"/>
      <c r="F871" s="436"/>
      <c r="G871" s="436"/>
      <c r="H871" s="436"/>
    </row>
    <row r="872" spans="1:10" ht="15.75" thickBot="1">
      <c r="A872" s="446"/>
      <c r="B872" s="446"/>
      <c r="C872" s="436"/>
      <c r="D872" s="484" t="s">
        <v>109</v>
      </c>
      <c r="E872" s="485"/>
      <c r="F872" s="485"/>
      <c r="G872" s="485"/>
      <c r="H872" s="466">
        <f>ROUND((H864+H870),0)</f>
        <v>143518</v>
      </c>
    </row>
    <row r="874" spans="1:10">
      <c r="A874" s="186" t="s">
        <v>77</v>
      </c>
      <c r="B874" s="446"/>
      <c r="C874" s="446"/>
      <c r="D874" s="446"/>
      <c r="E874" s="446"/>
      <c r="F874" s="446"/>
      <c r="G874" s="446"/>
      <c r="H874" s="446"/>
    </row>
    <row r="875" spans="1:10" ht="15.75" thickBot="1">
      <c r="A875" s="446"/>
      <c r="B875" s="446"/>
      <c r="C875" s="446"/>
      <c r="D875" s="446"/>
      <c r="E875" s="446"/>
      <c r="F875" s="446"/>
      <c r="G875" s="446"/>
      <c r="H875" s="446"/>
    </row>
    <row r="876" spans="1:10">
      <c r="A876" s="1348" t="s">
        <v>213</v>
      </c>
      <c r="B876" s="1349"/>
      <c r="C876" s="1350"/>
      <c r="D876" s="448"/>
      <c r="E876" s="448"/>
      <c r="F876" s="448"/>
      <c r="G876" s="448"/>
      <c r="H876" s="449"/>
    </row>
    <row r="877" spans="1:10">
      <c r="A877" s="1351"/>
      <c r="B877" s="1352"/>
      <c r="C877" s="1353"/>
      <c r="D877" s="436"/>
      <c r="E877" s="450" t="s">
        <v>78</v>
      </c>
      <c r="F877" s="436"/>
      <c r="G877" s="436"/>
      <c r="H877" s="451"/>
    </row>
    <row r="878" spans="1:10" ht="15.75" thickBot="1">
      <c r="A878" s="1354"/>
      <c r="B878" s="1355"/>
      <c r="C878" s="1356"/>
      <c r="D878" s="1360"/>
      <c r="E878" s="1361"/>
      <c r="F878" s="1361"/>
      <c r="G878" s="1361"/>
      <c r="H878" s="1362"/>
    </row>
    <row r="879" spans="1:10">
      <c r="A879" s="455"/>
      <c r="B879" s="436"/>
      <c r="C879" s="436"/>
      <c r="D879" s="436"/>
      <c r="E879" s="436"/>
      <c r="F879" s="436"/>
      <c r="G879" s="436"/>
      <c r="H879" s="436"/>
    </row>
    <row r="880" spans="1:10" s="446" customFormat="1" ht="12.75">
      <c r="A880" s="455" t="s">
        <v>1146</v>
      </c>
      <c r="B880" s="456" t="str">
        <f>+PRESUPUESTO!$B$70</f>
        <v>INSTALACIONES ELÉCTRICAS</v>
      </c>
      <c r="C880" s="436"/>
      <c r="E880" s="456"/>
      <c r="G880" s="456" t="s">
        <v>1123</v>
      </c>
      <c r="H880" s="483" t="s">
        <v>1182</v>
      </c>
      <c r="I880" s="436"/>
      <c r="J880" s="436"/>
    </row>
    <row r="881" spans="1:8" s="931" customFormat="1" ht="52.15" customHeight="1">
      <c r="A881" s="928" t="s">
        <v>1122</v>
      </c>
      <c r="B881" s="1375" t="str">
        <f>VLOOKUP(H880,PRESUPUESTO!$A$18:$F$251,2,FALSE)</f>
        <v>Suministro, transporte e instalación de materiales para salida eléctrica Normal de Iluminacion 220Vac,incluye cable encauchetado 3x16 PVC/NY 600V 105 °C; Conectores de Resorte y demás accesorios para su correcta instalación y funcionamiento. (1 m)</v>
      </c>
      <c r="C881" s="1375"/>
      <c r="D881" s="1375"/>
      <c r="E881" s="1375"/>
      <c r="F881" s="1375"/>
      <c r="G881" s="929" t="s">
        <v>9</v>
      </c>
      <c r="H881" s="1024" t="str">
        <f>VLOOKUP(H880,PRESUPUESTO!$A$18:$F$251,3,FALSE)</f>
        <v>un</v>
      </c>
    </row>
    <row r="882" spans="1:8">
      <c r="A882" s="456"/>
      <c r="B882" s="456"/>
      <c r="C882" s="436"/>
      <c r="D882" s="456"/>
      <c r="E882" s="456"/>
      <c r="F882" s="456"/>
      <c r="G882" s="456"/>
      <c r="H882" s="436"/>
    </row>
    <row r="883" spans="1:8" ht="15.75" thickBot="1">
      <c r="A883" s="450" t="s">
        <v>79</v>
      </c>
      <c r="B883" s="450"/>
      <c r="C883" s="436"/>
      <c r="D883" s="436"/>
      <c r="E883" s="436"/>
      <c r="F883" s="436"/>
      <c r="G883" s="436"/>
      <c r="H883" s="436"/>
    </row>
    <row r="884" spans="1:8">
      <c r="A884" s="1345" t="s">
        <v>80</v>
      </c>
      <c r="B884" s="1346"/>
      <c r="C884" s="1347"/>
      <c r="D884" s="438" t="s">
        <v>81</v>
      </c>
      <c r="E884" s="438" t="s">
        <v>82</v>
      </c>
      <c r="F884" s="438" t="s">
        <v>83</v>
      </c>
      <c r="G884" s="439" t="s">
        <v>84</v>
      </c>
      <c r="H884" s="457"/>
    </row>
    <row r="885" spans="1:8">
      <c r="A885" s="1357" t="s">
        <v>471</v>
      </c>
      <c r="B885" s="1358"/>
      <c r="C885" s="1359"/>
      <c r="D885" s="459" t="s">
        <v>268</v>
      </c>
      <c r="E885" s="440">
        <f>+H910*0.1</f>
        <v>7941.2000000000007</v>
      </c>
      <c r="F885" s="440">
        <v>1</v>
      </c>
      <c r="G885" s="432">
        <f>E885*F885</f>
        <v>7941.2000000000007</v>
      </c>
      <c r="H885" s="460"/>
    </row>
    <row r="886" spans="1:8">
      <c r="A886" s="1357"/>
      <c r="B886" s="1358"/>
      <c r="C886" s="1359"/>
      <c r="D886" s="461"/>
      <c r="E886" s="462"/>
      <c r="F886" s="497"/>
      <c r="G886" s="432">
        <f>E886*F886</f>
        <v>0</v>
      </c>
      <c r="H886" s="460"/>
    </row>
    <row r="887" spans="1:8" ht="15.75" thickBot="1">
      <c r="A887" s="1342"/>
      <c r="B887" s="1343"/>
      <c r="C887" s="1344"/>
      <c r="D887" s="464"/>
      <c r="E887" s="433"/>
      <c r="F887" s="434"/>
      <c r="G887" s="441">
        <f>E887*F887</f>
        <v>0</v>
      </c>
      <c r="H887" s="465"/>
    </row>
    <row r="888" spans="1:8" ht="15.75" thickBot="1">
      <c r="A888" s="436"/>
      <c r="B888" s="436"/>
      <c r="C888" s="436"/>
      <c r="D888" s="436"/>
      <c r="E888" s="436"/>
      <c r="F888" s="436"/>
      <c r="G888" s="437" t="s">
        <v>86</v>
      </c>
      <c r="H888" s="466">
        <f>SUM(G885:G887)</f>
        <v>7941.2000000000007</v>
      </c>
    </row>
    <row r="889" spans="1:8" ht="15.75" thickBot="1">
      <c r="A889" s="450" t="s">
        <v>87</v>
      </c>
      <c r="B889" s="450"/>
      <c r="C889" s="436"/>
      <c r="D889" s="436"/>
      <c r="E889" s="436"/>
      <c r="F889" s="436"/>
      <c r="G889" s="436"/>
      <c r="H889" s="436"/>
    </row>
    <row r="890" spans="1:8">
      <c r="A890" s="1345" t="s">
        <v>80</v>
      </c>
      <c r="B890" s="1346"/>
      <c r="C890" s="1347"/>
      <c r="D890" s="438" t="s">
        <v>88</v>
      </c>
      <c r="E890" s="438" t="s">
        <v>89</v>
      </c>
      <c r="F890" s="438" t="s">
        <v>90</v>
      </c>
      <c r="G890" s="439" t="s">
        <v>84</v>
      </c>
      <c r="H890" s="457"/>
    </row>
    <row r="891" spans="1:8">
      <c r="A891" s="458" t="s">
        <v>443</v>
      </c>
      <c r="B891" s="467"/>
      <c r="C891" s="468"/>
      <c r="D891" s="459" t="s">
        <v>268</v>
      </c>
      <c r="E891" s="430">
        <v>246</v>
      </c>
      <c r="F891" s="440">
        <v>4</v>
      </c>
      <c r="G891" s="432">
        <f t="shared" ref="G891:G896" si="4">E891*F891</f>
        <v>984</v>
      </c>
      <c r="H891" s="460"/>
    </row>
    <row r="892" spans="1:8">
      <c r="A892" s="469" t="s">
        <v>444</v>
      </c>
      <c r="B892" s="467"/>
      <c r="C892" s="468"/>
      <c r="D892" s="459" t="s">
        <v>268</v>
      </c>
      <c r="E892" s="430">
        <v>2100</v>
      </c>
      <c r="F892" s="440">
        <v>1</v>
      </c>
      <c r="G892" s="432">
        <f t="shared" si="4"/>
        <v>2100</v>
      </c>
      <c r="H892" s="460"/>
    </row>
    <row r="893" spans="1:8">
      <c r="A893" s="469" t="s">
        <v>445</v>
      </c>
      <c r="B893" s="467"/>
      <c r="C893" s="471"/>
      <c r="D893" s="459" t="s">
        <v>271</v>
      </c>
      <c r="E893" s="1009">
        <f>5326*1.19</f>
        <v>6337.94</v>
      </c>
      <c r="F893" s="440">
        <v>1.05</v>
      </c>
      <c r="G893" s="432">
        <f t="shared" si="4"/>
        <v>6654.8369999999995</v>
      </c>
      <c r="H893" s="460"/>
    </row>
    <row r="894" spans="1:8">
      <c r="A894" s="469" t="s">
        <v>446</v>
      </c>
      <c r="B894" s="467"/>
      <c r="C894" s="468"/>
      <c r="D894" s="459" t="s">
        <v>268</v>
      </c>
      <c r="E894" s="430">
        <v>220</v>
      </c>
      <c r="F894" s="440">
        <v>6</v>
      </c>
      <c r="G894" s="432">
        <f t="shared" si="4"/>
        <v>1320</v>
      </c>
      <c r="H894" s="460"/>
    </row>
    <row r="895" spans="1:8">
      <c r="A895" s="469" t="s">
        <v>447</v>
      </c>
      <c r="B895" s="467"/>
      <c r="C895" s="468"/>
      <c r="D895" s="459" t="s">
        <v>268</v>
      </c>
      <c r="E895" s="430">
        <v>4200</v>
      </c>
      <c r="F895" s="440">
        <v>0.02</v>
      </c>
      <c r="G895" s="445">
        <f t="shared" si="4"/>
        <v>84</v>
      </c>
      <c r="H895" s="460"/>
    </row>
    <row r="896" spans="1:8" ht="15.75" thickBot="1">
      <c r="A896" s="472" t="s">
        <v>448</v>
      </c>
      <c r="B896" s="473"/>
      <c r="C896" s="474"/>
      <c r="D896" s="464" t="s">
        <v>268</v>
      </c>
      <c r="E896" s="1014">
        <v>39900</v>
      </c>
      <c r="F896" s="434">
        <v>0.02</v>
      </c>
      <c r="G896" s="441">
        <f t="shared" si="4"/>
        <v>798</v>
      </c>
      <c r="H896" s="465"/>
    </row>
    <row r="897" spans="1:10" ht="15.75" thickBot="1">
      <c r="A897" s="436"/>
      <c r="B897" s="436"/>
      <c r="C897" s="436"/>
      <c r="D897" s="436"/>
      <c r="E897" s="436"/>
      <c r="F897" s="436"/>
      <c r="G897" s="437" t="s">
        <v>86</v>
      </c>
      <c r="H897" s="466">
        <f>SUM(G891:G896)</f>
        <v>11940.837</v>
      </c>
    </row>
    <row r="898" spans="1:10" ht="15.75" thickBot="1">
      <c r="A898" s="450" t="s">
        <v>94</v>
      </c>
      <c r="B898" s="450"/>
      <c r="C898" s="436"/>
      <c r="D898" s="436"/>
      <c r="E898" s="436"/>
      <c r="F898" s="436"/>
      <c r="G898" s="436"/>
      <c r="H898" s="436"/>
    </row>
    <row r="899" spans="1:10">
      <c r="A899" s="1345" t="s">
        <v>95</v>
      </c>
      <c r="B899" s="1346"/>
      <c r="C899" s="1347"/>
      <c r="D899" s="438" t="s">
        <v>88</v>
      </c>
      <c r="E899" s="438" t="s">
        <v>89</v>
      </c>
      <c r="F899" s="438" t="s">
        <v>90</v>
      </c>
      <c r="G899" s="439" t="s">
        <v>84</v>
      </c>
      <c r="H899" s="457"/>
    </row>
    <row r="900" spans="1:10">
      <c r="A900" s="458" t="s">
        <v>235</v>
      </c>
      <c r="B900" s="467"/>
      <c r="C900" s="468"/>
      <c r="D900" s="459" t="s">
        <v>271</v>
      </c>
      <c r="E900" s="430">
        <v>5500</v>
      </c>
      <c r="F900" s="440">
        <v>1</v>
      </c>
      <c r="G900" s="432">
        <f>E900*F900</f>
        <v>5500</v>
      </c>
      <c r="H900" s="460"/>
    </row>
    <row r="901" spans="1:10" ht="15.75" thickBot="1">
      <c r="A901" s="1342"/>
      <c r="B901" s="1343"/>
      <c r="C901" s="1344"/>
      <c r="D901" s="475"/>
      <c r="E901" s="433"/>
      <c r="F901" s="434"/>
      <c r="G901" s="441"/>
      <c r="H901" s="460"/>
    </row>
    <row r="902" spans="1:10" ht="15.75" thickBot="1">
      <c r="A902" s="436"/>
      <c r="B902" s="436"/>
      <c r="C902" s="436"/>
      <c r="D902" s="436"/>
      <c r="E902" s="436"/>
      <c r="F902" s="436"/>
      <c r="G902" s="437" t="s">
        <v>86</v>
      </c>
      <c r="H902" s="466">
        <f>SUM(G900:G901)</f>
        <v>5500</v>
      </c>
    </row>
    <row r="903" spans="1:10" ht="15.75" thickBot="1">
      <c r="A903" s="450" t="s">
        <v>96</v>
      </c>
      <c r="B903" s="450"/>
      <c r="C903" s="436"/>
      <c r="D903" s="436"/>
      <c r="E903" s="436"/>
      <c r="F903" s="436"/>
      <c r="G903" s="436"/>
      <c r="H903" s="436"/>
    </row>
    <row r="904" spans="1:10">
      <c r="A904" s="476" t="s">
        <v>97</v>
      </c>
      <c r="B904" s="438"/>
      <c r="C904" s="438" t="s">
        <v>98</v>
      </c>
      <c r="D904" s="438" t="s">
        <v>99</v>
      </c>
      <c r="E904" s="442" t="s">
        <v>100</v>
      </c>
      <c r="F904" s="443" t="s">
        <v>83</v>
      </c>
      <c r="G904" s="444" t="s">
        <v>84</v>
      </c>
      <c r="H904" s="477"/>
    </row>
    <row r="905" spans="1:10">
      <c r="A905" s="478" t="s">
        <v>1109</v>
      </c>
      <c r="B905" s="467"/>
      <c r="C905" s="479">
        <f>+PERSONAL!$E$34</f>
        <v>100000</v>
      </c>
      <c r="D905" s="480">
        <f>PERSONAL!$F$31</f>
        <v>1.7431000000000001</v>
      </c>
      <c r="E905" s="440">
        <f>+D905*C905</f>
        <v>174310</v>
      </c>
      <c r="F905" s="440">
        <v>2.1949999999999998</v>
      </c>
      <c r="G905" s="445">
        <f>ROUND(E905/F905,0)</f>
        <v>79412</v>
      </c>
      <c r="H905" s="451"/>
    </row>
    <row r="906" spans="1:10">
      <c r="A906" s="478"/>
      <c r="B906" s="467"/>
      <c r="C906" s="479"/>
      <c r="D906" s="480"/>
      <c r="E906" s="440"/>
      <c r="F906" s="440"/>
      <c r="G906" s="445"/>
      <c r="H906" s="451"/>
    </row>
    <row r="907" spans="1:10">
      <c r="A907" s="478"/>
      <c r="B907" s="468"/>
      <c r="C907" s="430"/>
      <c r="D907" s="459"/>
      <c r="E907" s="430"/>
      <c r="F907" s="440"/>
      <c r="G907" s="445"/>
      <c r="H907" s="451"/>
    </row>
    <row r="908" spans="1:10">
      <c r="A908" s="478"/>
      <c r="B908" s="468"/>
      <c r="C908" s="430"/>
      <c r="D908" s="459"/>
      <c r="E908" s="430"/>
      <c r="F908" s="440"/>
      <c r="G908" s="445"/>
      <c r="H908" s="451"/>
    </row>
    <row r="909" spans="1:10" ht="15.75" thickBot="1">
      <c r="A909" s="481"/>
      <c r="B909" s="474"/>
      <c r="C909" s="474"/>
      <c r="D909" s="474"/>
      <c r="E909" s="474"/>
      <c r="F909" s="474"/>
      <c r="G909" s="482"/>
      <c r="H909" s="482"/>
    </row>
    <row r="910" spans="1:10" ht="15.75" thickBot="1">
      <c r="A910" s="436"/>
      <c r="B910" s="436"/>
      <c r="C910" s="436"/>
      <c r="D910" s="436"/>
      <c r="E910" s="436"/>
      <c r="F910" s="436"/>
      <c r="G910" s="437" t="s">
        <v>86</v>
      </c>
      <c r="H910" s="466">
        <f>SUM(G905:G909)</f>
        <v>79412</v>
      </c>
    </row>
    <row r="911" spans="1:10" ht="15.75" thickBot="1">
      <c r="A911" s="436"/>
      <c r="B911" s="436"/>
      <c r="C911" s="436"/>
      <c r="D911" s="436"/>
      <c r="E911" s="436"/>
      <c r="F911" s="436"/>
      <c r="G911" s="483"/>
      <c r="H911" s="436"/>
    </row>
    <row r="912" spans="1:10" ht="15.75" thickBot="1">
      <c r="A912" s="436"/>
      <c r="B912" s="436"/>
      <c r="C912" s="436"/>
      <c r="D912" s="436"/>
      <c r="E912" s="484" t="s">
        <v>102</v>
      </c>
      <c r="F912" s="485"/>
      <c r="G912" s="485"/>
      <c r="H912" s="466">
        <f>H888+H897+H902+H910</f>
        <v>104794.037</v>
      </c>
      <c r="J912" s="486"/>
    </row>
    <row r="913" spans="1:10" ht="15.75" thickBot="1">
      <c r="A913" s="450" t="s">
        <v>103</v>
      </c>
      <c r="B913" s="450"/>
      <c r="C913" s="436"/>
      <c r="D913" s="436"/>
      <c r="E913" s="436"/>
      <c r="F913" s="436"/>
      <c r="G913" s="436"/>
      <c r="H913" s="436"/>
    </row>
    <row r="914" spans="1:10">
      <c r="A914" s="487" t="s">
        <v>80</v>
      </c>
      <c r="B914" s="488"/>
      <c r="C914" s="488"/>
      <c r="D914" s="488"/>
      <c r="E914" s="489"/>
      <c r="F914" s="490" t="s">
        <v>104</v>
      </c>
      <c r="G914" s="491" t="s">
        <v>105</v>
      </c>
      <c r="H914" s="457"/>
    </row>
    <row r="915" spans="1:10">
      <c r="A915" s="469" t="s">
        <v>106</v>
      </c>
      <c r="B915" s="467"/>
      <c r="C915" s="467"/>
      <c r="D915" s="467"/>
      <c r="E915" s="468"/>
      <c r="F915" s="492">
        <f>PRESUPUESTO!$E$222</f>
        <v>0.109</v>
      </c>
      <c r="G915" s="493">
        <f>+F915*H912</f>
        <v>11422.550033</v>
      </c>
      <c r="H915" s="460"/>
    </row>
    <row r="916" spans="1:10">
      <c r="A916" s="469" t="s">
        <v>107</v>
      </c>
      <c r="B916" s="467"/>
      <c r="C916" s="467"/>
      <c r="D916" s="467"/>
      <c r="E916" s="468"/>
      <c r="F916" s="492">
        <f>PRESUPUESTO!$E$223</f>
        <v>0.05</v>
      </c>
      <c r="G916" s="493">
        <f>+F916*H912</f>
        <v>5239.7018500000004</v>
      </c>
      <c r="H916" s="460"/>
    </row>
    <row r="917" spans="1:10" ht="15.75" thickBot="1">
      <c r="A917" s="472" t="s">
        <v>108</v>
      </c>
      <c r="B917" s="473"/>
      <c r="C917" s="473"/>
      <c r="D917" s="473"/>
      <c r="E917" s="474"/>
      <c r="F917" s="494">
        <v>0</v>
      </c>
      <c r="G917" s="495">
        <f>+F917*H912</f>
        <v>0</v>
      </c>
      <c r="H917" s="465"/>
    </row>
    <row r="918" spans="1:10" ht="15.75" thickBot="1">
      <c r="A918" s="436"/>
      <c r="B918" s="436"/>
      <c r="C918" s="436"/>
      <c r="D918" s="436"/>
      <c r="E918" s="436"/>
      <c r="F918" s="436"/>
      <c r="G918" s="437" t="s">
        <v>86</v>
      </c>
      <c r="H918" s="496">
        <f>SUM(G915:G917)</f>
        <v>16662.251883000001</v>
      </c>
    </row>
    <row r="919" spans="1:10" ht="15.75" thickBot="1">
      <c r="A919" s="436"/>
      <c r="B919" s="436"/>
      <c r="C919" s="436"/>
      <c r="D919" s="436"/>
      <c r="E919" s="436"/>
      <c r="F919" s="436"/>
      <c r="G919" s="436"/>
      <c r="H919" s="436"/>
    </row>
    <row r="920" spans="1:10" ht="15.75" thickBot="1">
      <c r="A920" s="446"/>
      <c r="B920" s="446"/>
      <c r="C920" s="436"/>
      <c r="D920" s="484" t="s">
        <v>109</v>
      </c>
      <c r="E920" s="485"/>
      <c r="F920" s="485"/>
      <c r="G920" s="485"/>
      <c r="H920" s="466">
        <f>ROUND((H912+H918),0)</f>
        <v>121456</v>
      </c>
    </row>
    <row r="921" spans="1:10">
      <c r="A921" s="446"/>
      <c r="B921" s="446"/>
      <c r="C921" s="446"/>
      <c r="D921" s="446"/>
      <c r="E921" s="446"/>
      <c r="F921" s="446"/>
      <c r="G921" s="446"/>
      <c r="H921" s="446"/>
    </row>
    <row r="922" spans="1:10">
      <c r="A922" s="186" t="s">
        <v>77</v>
      </c>
      <c r="B922" s="446"/>
      <c r="C922" s="446"/>
      <c r="D922" s="446"/>
      <c r="E922" s="446"/>
      <c r="F922" s="446"/>
      <c r="G922" s="446"/>
      <c r="H922" s="446"/>
    </row>
    <row r="923" spans="1:10" ht="15.75" thickBot="1">
      <c r="A923" s="446"/>
      <c r="B923" s="446"/>
      <c r="C923" s="446"/>
      <c r="D923" s="446"/>
      <c r="E923" s="446"/>
      <c r="F923" s="446"/>
      <c r="G923" s="446"/>
      <c r="H923" s="446"/>
    </row>
    <row r="924" spans="1:10">
      <c r="A924" s="1348" t="s">
        <v>213</v>
      </c>
      <c r="B924" s="1349"/>
      <c r="C924" s="1350"/>
      <c r="D924" s="448"/>
      <c r="E924" s="448"/>
      <c r="F924" s="448"/>
      <c r="G924" s="448"/>
      <c r="H924" s="449"/>
    </row>
    <row r="925" spans="1:10">
      <c r="A925" s="1351"/>
      <c r="B925" s="1352"/>
      <c r="C925" s="1353"/>
      <c r="D925" s="436"/>
      <c r="E925" s="450" t="s">
        <v>78</v>
      </c>
      <c r="F925" s="436"/>
      <c r="G925" s="436"/>
      <c r="H925" s="451"/>
    </row>
    <row r="926" spans="1:10" ht="15.75" thickBot="1">
      <c r="A926" s="1354"/>
      <c r="B926" s="1355"/>
      <c r="C926" s="1356"/>
      <c r="D926" s="1360"/>
      <c r="E926" s="1361"/>
      <c r="F926" s="1361"/>
      <c r="G926" s="1361"/>
      <c r="H926" s="1362"/>
    </row>
    <row r="927" spans="1:10">
      <c r="A927" s="455"/>
      <c r="B927" s="436"/>
      <c r="C927" s="436"/>
      <c r="D927" s="436"/>
      <c r="E927" s="436"/>
      <c r="F927" s="436"/>
      <c r="G927" s="436"/>
      <c r="H927" s="436"/>
    </row>
    <row r="928" spans="1:10" s="446" customFormat="1" ht="12.75">
      <c r="A928" s="455" t="s">
        <v>1146</v>
      </c>
      <c r="B928" s="456" t="str">
        <f>+PRESUPUESTO!$B$70</f>
        <v>INSTALACIONES ELÉCTRICAS</v>
      </c>
      <c r="C928" s="436"/>
      <c r="E928" s="456"/>
      <c r="G928" s="456" t="s">
        <v>1123</v>
      </c>
      <c r="H928" s="483" t="s">
        <v>1183</v>
      </c>
      <c r="I928" s="436"/>
      <c r="J928" s="436"/>
    </row>
    <row r="929" spans="1:8" s="931" customFormat="1" ht="52.15" customHeight="1">
      <c r="A929" s="928" t="s">
        <v>1122</v>
      </c>
      <c r="B929" s="1375" t="str">
        <f>VLOOKUP(H928,PRESUPUESTO!$A$18:$F$251,2,FALSE)</f>
        <v>Suministro, Transporte e Instalacion de Control Remoto de 8 ZONAS REFLECTOR LED ESTACA</v>
      </c>
      <c r="C929" s="1375"/>
      <c r="D929" s="1375"/>
      <c r="E929" s="1375"/>
      <c r="F929" s="1375"/>
      <c r="G929" s="929" t="s">
        <v>9</v>
      </c>
      <c r="H929" s="1024" t="str">
        <f>VLOOKUP(H928,PRESUPUESTO!$A$18:$F$251,3,FALSE)</f>
        <v>un</v>
      </c>
    </row>
    <row r="930" spans="1:8">
      <c r="A930" s="456"/>
      <c r="B930" s="456"/>
      <c r="C930" s="436"/>
      <c r="D930" s="456"/>
      <c r="E930" s="456"/>
      <c r="F930" s="456"/>
      <c r="G930" s="456"/>
      <c r="H930" s="436"/>
    </row>
    <row r="931" spans="1:8" ht="15.75" thickBot="1">
      <c r="A931" s="450" t="s">
        <v>79</v>
      </c>
      <c r="B931" s="450"/>
      <c r="C931" s="436"/>
      <c r="D931" s="436"/>
      <c r="E931" s="436"/>
      <c r="F931" s="436"/>
      <c r="G931" s="436"/>
      <c r="H931" s="436"/>
    </row>
    <row r="932" spans="1:8">
      <c r="A932" s="1345" t="s">
        <v>80</v>
      </c>
      <c r="B932" s="1346"/>
      <c r="C932" s="1347"/>
      <c r="D932" s="438" t="s">
        <v>81</v>
      </c>
      <c r="E932" s="438" t="s">
        <v>82</v>
      </c>
      <c r="F932" s="438" t="s">
        <v>83</v>
      </c>
      <c r="G932" s="439" t="s">
        <v>84</v>
      </c>
      <c r="H932" s="457"/>
    </row>
    <row r="933" spans="1:8">
      <c r="A933" s="1357" t="s">
        <v>471</v>
      </c>
      <c r="B933" s="1358"/>
      <c r="C933" s="1359"/>
      <c r="D933" s="459" t="s">
        <v>268</v>
      </c>
      <c r="E933" s="440">
        <v>1000</v>
      </c>
      <c r="F933" s="440">
        <v>1</v>
      </c>
      <c r="G933" s="432">
        <f>E933*F933</f>
        <v>1000</v>
      </c>
      <c r="H933" s="460"/>
    </row>
    <row r="934" spans="1:8">
      <c r="A934" s="1357"/>
      <c r="B934" s="1358"/>
      <c r="C934" s="1359"/>
      <c r="D934" s="461"/>
      <c r="E934" s="462"/>
      <c r="F934" s="497"/>
      <c r="G934" s="432">
        <f>E934*F934</f>
        <v>0</v>
      </c>
      <c r="H934" s="460"/>
    </row>
    <row r="935" spans="1:8" ht="15.75" thickBot="1">
      <c r="A935" s="1342"/>
      <c r="B935" s="1343"/>
      <c r="C935" s="1344"/>
      <c r="D935" s="464"/>
      <c r="E935" s="433"/>
      <c r="F935" s="434"/>
      <c r="G935" s="441">
        <f>E935*F935</f>
        <v>0</v>
      </c>
      <c r="H935" s="465"/>
    </row>
    <row r="936" spans="1:8" ht="15.75" thickBot="1">
      <c r="A936" s="436"/>
      <c r="B936" s="436"/>
      <c r="C936" s="436"/>
      <c r="D936" s="436"/>
      <c r="E936" s="436"/>
      <c r="F936" s="436"/>
      <c r="G936" s="437" t="s">
        <v>86</v>
      </c>
      <c r="H936" s="466">
        <f>SUM(G933:G935)</f>
        <v>1000</v>
      </c>
    </row>
    <row r="937" spans="1:8" ht="15.75" thickBot="1">
      <c r="A937" s="450" t="s">
        <v>87</v>
      </c>
      <c r="B937" s="450"/>
      <c r="C937" s="436"/>
      <c r="D937" s="436"/>
      <c r="E937" s="436"/>
      <c r="F937" s="436"/>
      <c r="G937" s="436"/>
      <c r="H937" s="436"/>
    </row>
    <row r="938" spans="1:8">
      <c r="A938" s="1345" t="s">
        <v>80</v>
      </c>
      <c r="B938" s="1346"/>
      <c r="C938" s="1347"/>
      <c r="D938" s="438" t="s">
        <v>88</v>
      </c>
      <c r="E938" s="438" t="s">
        <v>89</v>
      </c>
      <c r="F938" s="438" t="s">
        <v>90</v>
      </c>
      <c r="G938" s="439" t="s">
        <v>84</v>
      </c>
      <c r="H938" s="457"/>
    </row>
    <row r="939" spans="1:8">
      <c r="A939" s="1383" t="s">
        <v>488</v>
      </c>
      <c r="B939" s="1384"/>
      <c r="C939" s="1385"/>
      <c r="D939" s="459" t="s">
        <v>268</v>
      </c>
      <c r="E939" s="430">
        <v>166600</v>
      </c>
      <c r="F939" s="440">
        <v>1</v>
      </c>
      <c r="G939" s="432">
        <f>E939*F939</f>
        <v>166600</v>
      </c>
      <c r="H939" s="460"/>
    </row>
    <row r="940" spans="1:8">
      <c r="A940" s="1389"/>
      <c r="B940" s="1390"/>
      <c r="C940" s="1391"/>
      <c r="D940" s="459"/>
      <c r="E940" s="430"/>
      <c r="F940" s="440"/>
      <c r="G940" s="432"/>
      <c r="H940" s="460"/>
    </row>
    <row r="941" spans="1:8">
      <c r="A941" s="469"/>
      <c r="B941" s="467"/>
      <c r="C941" s="471"/>
      <c r="D941" s="459"/>
      <c r="E941" s="430"/>
      <c r="F941" s="431"/>
      <c r="G941" s="432"/>
      <c r="H941" s="460"/>
    </row>
    <row r="942" spans="1:8">
      <c r="A942" s="469"/>
      <c r="B942" s="467"/>
      <c r="C942" s="468"/>
      <c r="D942" s="459"/>
      <c r="E942" s="430"/>
      <c r="F942" s="431"/>
      <c r="G942" s="432"/>
      <c r="H942" s="460"/>
    </row>
    <row r="943" spans="1:8">
      <c r="A943" s="469"/>
      <c r="B943" s="467"/>
      <c r="C943" s="468"/>
      <c r="D943" s="459"/>
      <c r="E943" s="430"/>
      <c r="F943" s="431"/>
      <c r="G943" s="432"/>
      <c r="H943" s="460"/>
    </row>
    <row r="944" spans="1:8" ht="15.75" thickBot="1">
      <c r="A944" s="472"/>
      <c r="B944" s="473"/>
      <c r="C944" s="474"/>
      <c r="D944" s="464"/>
      <c r="E944" s="433"/>
      <c r="F944" s="434"/>
      <c r="G944" s="435"/>
      <c r="H944" s="465"/>
    </row>
    <row r="945" spans="1:8" ht="15.75" thickBot="1">
      <c r="A945" s="436"/>
      <c r="B945" s="436"/>
      <c r="C945" s="436"/>
      <c r="D945" s="436"/>
      <c r="E945" s="436"/>
      <c r="F945" s="436"/>
      <c r="G945" s="437" t="s">
        <v>86</v>
      </c>
      <c r="H945" s="466">
        <f>SUM(G939:G944)</f>
        <v>166600</v>
      </c>
    </row>
    <row r="946" spans="1:8" ht="15.75" thickBot="1">
      <c r="A946" s="450" t="s">
        <v>94</v>
      </c>
      <c r="B946" s="450"/>
      <c r="C946" s="436"/>
      <c r="D946" s="436"/>
      <c r="E946" s="436"/>
      <c r="F946" s="436"/>
      <c r="G946" s="436"/>
      <c r="H946" s="436"/>
    </row>
    <row r="947" spans="1:8">
      <c r="A947" s="1345" t="s">
        <v>95</v>
      </c>
      <c r="B947" s="1346"/>
      <c r="C947" s="1347"/>
      <c r="D947" s="438" t="s">
        <v>88</v>
      </c>
      <c r="E947" s="438" t="s">
        <v>89</v>
      </c>
      <c r="F947" s="438" t="s">
        <v>90</v>
      </c>
      <c r="G947" s="439" t="s">
        <v>84</v>
      </c>
      <c r="H947" s="457"/>
    </row>
    <row r="948" spans="1:8">
      <c r="A948" s="458" t="s">
        <v>235</v>
      </c>
      <c r="B948" s="467"/>
      <c r="C948" s="468"/>
      <c r="D948" s="459" t="s">
        <v>271</v>
      </c>
      <c r="E948" s="430">
        <v>1000</v>
      </c>
      <c r="F948" s="440">
        <v>1</v>
      </c>
      <c r="G948" s="432">
        <f>E948*F948</f>
        <v>1000</v>
      </c>
      <c r="H948" s="460"/>
    </row>
    <row r="949" spans="1:8" ht="15.75" thickBot="1">
      <c r="A949" s="1342"/>
      <c r="B949" s="1343"/>
      <c r="C949" s="1344"/>
      <c r="D949" s="475"/>
      <c r="E949" s="433"/>
      <c r="F949" s="434"/>
      <c r="G949" s="441"/>
      <c r="H949" s="460"/>
    </row>
    <row r="950" spans="1:8" ht="15.75" thickBot="1">
      <c r="A950" s="436"/>
      <c r="B950" s="436"/>
      <c r="C950" s="436"/>
      <c r="D950" s="436"/>
      <c r="E950" s="436"/>
      <c r="F950" s="436"/>
      <c r="G950" s="437" t="s">
        <v>86</v>
      </c>
      <c r="H950" s="466">
        <f>SUM(G948:G949)</f>
        <v>1000</v>
      </c>
    </row>
    <row r="951" spans="1:8" ht="15.75" thickBot="1">
      <c r="A951" s="450" t="s">
        <v>96</v>
      </c>
      <c r="B951" s="450"/>
      <c r="C951" s="436"/>
      <c r="D951" s="436"/>
      <c r="E951" s="436"/>
      <c r="F951" s="436"/>
      <c r="G951" s="436"/>
      <c r="H951" s="436"/>
    </row>
    <row r="952" spans="1:8">
      <c r="A952" s="476" t="s">
        <v>97</v>
      </c>
      <c r="B952" s="438"/>
      <c r="C952" s="438" t="s">
        <v>98</v>
      </c>
      <c r="D952" s="438" t="s">
        <v>99</v>
      </c>
      <c r="E952" s="442" t="s">
        <v>100</v>
      </c>
      <c r="F952" s="443" t="s">
        <v>83</v>
      </c>
      <c r="G952" s="444" t="s">
        <v>84</v>
      </c>
      <c r="H952" s="477"/>
    </row>
    <row r="953" spans="1:8">
      <c r="A953" s="478" t="s">
        <v>101</v>
      </c>
      <c r="B953" s="467"/>
      <c r="C953" s="479">
        <f>PERSONAL!$E$32</f>
        <v>87200</v>
      </c>
      <c r="D953" s="480">
        <f>PERSONAL!$F$31</f>
        <v>1.7431000000000001</v>
      </c>
      <c r="E953" s="440">
        <f>+D953*C953</f>
        <v>151998.32</v>
      </c>
      <c r="F953" s="440">
        <v>1.7117596487908044</v>
      </c>
      <c r="G953" s="445">
        <f>ROUND(E953/F953,0)</f>
        <v>88797</v>
      </c>
      <c r="H953" s="451"/>
    </row>
    <row r="954" spans="1:8">
      <c r="A954" s="478"/>
      <c r="B954" s="467"/>
      <c r="C954" s="479"/>
      <c r="D954" s="480"/>
      <c r="E954" s="440"/>
      <c r="F954" s="440"/>
      <c r="G954" s="445"/>
      <c r="H954" s="451"/>
    </row>
    <row r="955" spans="1:8">
      <c r="A955" s="478"/>
      <c r="B955" s="468"/>
      <c r="C955" s="430"/>
      <c r="D955" s="459"/>
      <c r="E955" s="430"/>
      <c r="F955" s="440"/>
      <c r="G955" s="445"/>
      <c r="H955" s="451"/>
    </row>
    <row r="956" spans="1:8">
      <c r="A956" s="478"/>
      <c r="B956" s="468"/>
      <c r="C956" s="430"/>
      <c r="D956" s="459"/>
      <c r="E956" s="430"/>
      <c r="F956" s="440"/>
      <c r="G956" s="445"/>
      <c r="H956" s="451"/>
    </row>
    <row r="957" spans="1:8" ht="15.75" thickBot="1">
      <c r="A957" s="481"/>
      <c r="B957" s="474"/>
      <c r="C957" s="474"/>
      <c r="D957" s="474"/>
      <c r="E957" s="474"/>
      <c r="F957" s="474"/>
      <c r="G957" s="482"/>
      <c r="H957" s="482"/>
    </row>
    <row r="958" spans="1:8" ht="15.75" thickBot="1">
      <c r="A958" s="436"/>
      <c r="B958" s="436"/>
      <c r="C958" s="436"/>
      <c r="D958" s="436"/>
      <c r="E958" s="436"/>
      <c r="F958" s="436"/>
      <c r="G958" s="437" t="s">
        <v>86</v>
      </c>
      <c r="H958" s="466">
        <f>SUM(G953:G957)</f>
        <v>88797</v>
      </c>
    </row>
    <row r="959" spans="1:8" ht="15.75" thickBot="1">
      <c r="A959" s="436"/>
      <c r="B959" s="436"/>
      <c r="C959" s="436"/>
      <c r="D959" s="436"/>
      <c r="E959" s="436"/>
      <c r="F959" s="436"/>
      <c r="G959" s="483"/>
      <c r="H959" s="436"/>
    </row>
    <row r="960" spans="1:8" ht="15.75" thickBot="1">
      <c r="A960" s="436"/>
      <c r="B960" s="436"/>
      <c r="C960" s="436"/>
      <c r="D960" s="436"/>
      <c r="E960" s="484" t="s">
        <v>102</v>
      </c>
      <c r="F960" s="485"/>
      <c r="G960" s="485"/>
      <c r="H960" s="466">
        <f>H936+H945+H950+H958</f>
        <v>257397</v>
      </c>
    </row>
    <row r="961" spans="1:10" ht="15.75" thickBot="1">
      <c r="A961" s="450" t="s">
        <v>103</v>
      </c>
      <c r="B961" s="450"/>
      <c r="C961" s="436"/>
      <c r="D961" s="436"/>
      <c r="E961" s="436"/>
      <c r="F961" s="436"/>
      <c r="G961" s="436"/>
      <c r="H961" s="436"/>
    </row>
    <row r="962" spans="1:10">
      <c r="A962" s="487" t="s">
        <v>80</v>
      </c>
      <c r="B962" s="488"/>
      <c r="C962" s="488"/>
      <c r="D962" s="488"/>
      <c r="E962" s="489"/>
      <c r="F962" s="490" t="s">
        <v>104</v>
      </c>
      <c r="G962" s="491" t="s">
        <v>105</v>
      </c>
      <c r="H962" s="457"/>
    </row>
    <row r="963" spans="1:10">
      <c r="A963" s="469" t="s">
        <v>106</v>
      </c>
      <c r="B963" s="467"/>
      <c r="C963" s="467"/>
      <c r="D963" s="467"/>
      <c r="E963" s="468"/>
      <c r="F963" s="492">
        <f>PRESUPUESTO!$E$222</f>
        <v>0.109</v>
      </c>
      <c r="G963" s="493">
        <f>+F963*H960</f>
        <v>28056.273000000001</v>
      </c>
      <c r="H963" s="460"/>
    </row>
    <row r="964" spans="1:10">
      <c r="A964" s="469" t="s">
        <v>107</v>
      </c>
      <c r="B964" s="467"/>
      <c r="C964" s="467"/>
      <c r="D964" s="467"/>
      <c r="E964" s="468"/>
      <c r="F964" s="492">
        <f>PRESUPUESTO!$E$223</f>
        <v>0.05</v>
      </c>
      <c r="G964" s="493">
        <f>+F964*H960</f>
        <v>12869.85</v>
      </c>
      <c r="H964" s="460"/>
    </row>
    <row r="965" spans="1:10" ht="15.75" thickBot="1">
      <c r="A965" s="472" t="s">
        <v>108</v>
      </c>
      <c r="B965" s="473"/>
      <c r="C965" s="473"/>
      <c r="D965" s="473"/>
      <c r="E965" s="474"/>
      <c r="F965" s="494">
        <v>0</v>
      </c>
      <c r="G965" s="495">
        <f>+F965*H960</f>
        <v>0</v>
      </c>
      <c r="H965" s="465"/>
    </row>
    <row r="966" spans="1:10" ht="15.75" thickBot="1">
      <c r="A966" s="436"/>
      <c r="B966" s="436"/>
      <c r="C966" s="436"/>
      <c r="D966" s="436"/>
      <c r="E966" s="436"/>
      <c r="F966" s="436"/>
      <c r="G966" s="437" t="s">
        <v>86</v>
      </c>
      <c r="H966" s="496">
        <f>SUM(G963:G965)</f>
        <v>40926.123</v>
      </c>
    </row>
    <row r="967" spans="1:10" ht="15.75" thickBot="1">
      <c r="A967" s="436"/>
      <c r="B967" s="436"/>
      <c r="C967" s="436"/>
      <c r="D967" s="436"/>
      <c r="E967" s="436"/>
      <c r="F967" s="436"/>
      <c r="G967" s="436"/>
      <c r="H967" s="436"/>
    </row>
    <row r="968" spans="1:10" ht="15.75" thickBot="1">
      <c r="A968" s="446"/>
      <c r="B968" s="446"/>
      <c r="C968" s="436"/>
      <c r="D968" s="484" t="s">
        <v>109</v>
      </c>
      <c r="E968" s="485"/>
      <c r="F968" s="485"/>
      <c r="G968" s="485"/>
      <c r="H968" s="466">
        <f>ROUND((H960+H966),0)</f>
        <v>298323</v>
      </c>
    </row>
    <row r="970" spans="1:10">
      <c r="A970" s="186" t="s">
        <v>77</v>
      </c>
      <c r="B970" s="446"/>
      <c r="C970" s="446"/>
      <c r="D970" s="446"/>
      <c r="E970" s="446"/>
      <c r="F970" s="446"/>
      <c r="G970" s="446"/>
      <c r="H970" s="446"/>
    </row>
    <row r="971" spans="1:10" ht="15.75" thickBot="1">
      <c r="A971" s="446"/>
      <c r="B971" s="446"/>
      <c r="C971" s="446"/>
      <c r="D971" s="446"/>
      <c r="E971" s="446"/>
      <c r="F971" s="446"/>
      <c r="G971" s="446"/>
      <c r="H971" s="446"/>
    </row>
    <row r="972" spans="1:10">
      <c r="A972" s="1348" t="s">
        <v>213</v>
      </c>
      <c r="B972" s="1349"/>
      <c r="C972" s="1350"/>
      <c r="D972" s="448"/>
      <c r="E972" s="448"/>
      <c r="F972" s="448"/>
      <c r="G972" s="448"/>
      <c r="H972" s="449"/>
    </row>
    <row r="973" spans="1:10">
      <c r="A973" s="1351"/>
      <c r="B973" s="1352"/>
      <c r="C973" s="1353"/>
      <c r="D973" s="436"/>
      <c r="E973" s="450" t="s">
        <v>78</v>
      </c>
      <c r="F973" s="436"/>
      <c r="G973" s="436"/>
      <c r="H973" s="451"/>
    </row>
    <row r="974" spans="1:10" ht="15.75" thickBot="1">
      <c r="A974" s="1354"/>
      <c r="B974" s="1355"/>
      <c r="C974" s="1356"/>
      <c r="D974" s="1360"/>
      <c r="E974" s="1361"/>
      <c r="F974" s="1361"/>
      <c r="G974" s="1361"/>
      <c r="H974" s="1362"/>
    </row>
    <row r="975" spans="1:10">
      <c r="A975" s="455"/>
      <c r="B975" s="436"/>
      <c r="C975" s="436"/>
      <c r="D975" s="436"/>
      <c r="E975" s="436"/>
      <c r="F975" s="436"/>
      <c r="G975" s="436"/>
      <c r="H975" s="436"/>
    </row>
    <row r="976" spans="1:10" s="446" customFormat="1" ht="12.75">
      <c r="A976" s="455" t="s">
        <v>1146</v>
      </c>
      <c r="B976" s="456" t="str">
        <f>+PRESUPUESTO!$B$70</f>
        <v>INSTALACIONES ELÉCTRICAS</v>
      </c>
      <c r="C976" s="436"/>
      <c r="E976" s="456"/>
      <c r="G976" s="456" t="s">
        <v>1123</v>
      </c>
      <c r="H976" s="483" t="s">
        <v>1184</v>
      </c>
      <c r="I976" s="436"/>
      <c r="J976" s="436"/>
    </row>
    <row r="977" spans="1:9" s="931" customFormat="1" ht="52.15" customHeight="1">
      <c r="A977" s="928" t="s">
        <v>1122</v>
      </c>
      <c r="B977" s="1375" t="str">
        <f>VLOOKUP(H976,PRESUPUESTO!$A$18:$F$251,2,FALSE)</f>
        <v xml:space="preserve">Suministro, transporte e instalación de cable concentrico antifraude 2No4+1No4 AWG-XLPE, canalizado con sus accesorios de montaje, y demás elementos necesarios para su correcta instalación.  </v>
      </c>
      <c r="C977" s="1375"/>
      <c r="D977" s="1375"/>
      <c r="E977" s="1375"/>
      <c r="F977" s="1375"/>
      <c r="G977" s="929" t="s">
        <v>9</v>
      </c>
      <c r="H977" s="1024" t="str">
        <f>VLOOKUP(H976,PRESUPUESTO!$A$18:$F$251,3,FALSE)</f>
        <v>ml</v>
      </c>
    </row>
    <row r="978" spans="1:9">
      <c r="A978" s="456"/>
      <c r="B978" s="456"/>
      <c r="C978" s="436"/>
      <c r="D978" s="456"/>
      <c r="E978" s="456"/>
      <c r="F978" s="456"/>
      <c r="G978" s="456"/>
      <c r="H978" s="436"/>
    </row>
    <row r="979" spans="1:9" ht="15.75" thickBot="1">
      <c r="A979" s="450" t="s">
        <v>79</v>
      </c>
      <c r="B979" s="450"/>
      <c r="C979" s="436"/>
      <c r="D979" s="436"/>
      <c r="E979" s="436"/>
      <c r="F979" s="436"/>
      <c r="G979" s="436"/>
      <c r="H979" s="436"/>
    </row>
    <row r="980" spans="1:9">
      <c r="A980" s="1345" t="s">
        <v>80</v>
      </c>
      <c r="B980" s="1346"/>
      <c r="C980" s="1347"/>
      <c r="D980" s="438" t="s">
        <v>81</v>
      </c>
      <c r="E980" s="438" t="s">
        <v>82</v>
      </c>
      <c r="F980" s="438" t="s">
        <v>83</v>
      </c>
      <c r="G980" s="439" t="s">
        <v>84</v>
      </c>
      <c r="H980" s="457"/>
    </row>
    <row r="981" spans="1:9">
      <c r="A981" s="1357" t="s">
        <v>471</v>
      </c>
      <c r="B981" s="1358"/>
      <c r="C981" s="1359"/>
      <c r="D981" s="459" t="s">
        <v>268</v>
      </c>
      <c r="E981" s="440">
        <f>+H1006*0.1</f>
        <v>2490.1000000000004</v>
      </c>
      <c r="F981" s="440">
        <v>1</v>
      </c>
      <c r="G981" s="432">
        <f>E981*F981</f>
        <v>2490.1000000000004</v>
      </c>
      <c r="H981" s="460"/>
    </row>
    <row r="982" spans="1:9">
      <c r="A982" s="1357" t="s">
        <v>215</v>
      </c>
      <c r="B982" s="1358"/>
      <c r="C982" s="1359"/>
      <c r="D982" s="461" t="s">
        <v>263</v>
      </c>
      <c r="E982" s="462">
        <f>MATERIALES!$C$4</f>
        <v>14500</v>
      </c>
      <c r="F982" s="440">
        <f>2/F1001</f>
        <v>0.2857142857142857</v>
      </c>
      <c r="G982" s="432">
        <f>E982*F982</f>
        <v>4142.8571428571422</v>
      </c>
      <c r="H982" s="460"/>
    </row>
    <row r="983" spans="1:9" ht="15.75" thickBot="1">
      <c r="A983" s="1342"/>
      <c r="B983" s="1343"/>
      <c r="C983" s="1344"/>
      <c r="D983" s="464"/>
      <c r="E983" s="433"/>
      <c r="F983" s="434"/>
      <c r="G983" s="441">
        <f>E983*F983</f>
        <v>0</v>
      </c>
      <c r="H983" s="465"/>
    </row>
    <row r="984" spans="1:9" ht="15.75" thickBot="1">
      <c r="A984" s="436"/>
      <c r="B984" s="436"/>
      <c r="C984" s="436"/>
      <c r="D984" s="436"/>
      <c r="E984" s="436"/>
      <c r="F984" s="436"/>
      <c r="G984" s="437" t="s">
        <v>86</v>
      </c>
      <c r="H984" s="466">
        <f>SUM(G981:G983)</f>
        <v>6632.9571428571426</v>
      </c>
    </row>
    <row r="985" spans="1:9" ht="15.75" thickBot="1">
      <c r="A985" s="450" t="s">
        <v>87</v>
      </c>
      <c r="B985" s="450"/>
      <c r="C985" s="436"/>
      <c r="D985" s="436"/>
      <c r="E985" s="436"/>
      <c r="F985" s="436"/>
      <c r="G985" s="436"/>
      <c r="H985" s="436"/>
    </row>
    <row r="986" spans="1:9">
      <c r="A986" s="1345" t="s">
        <v>80</v>
      </c>
      <c r="B986" s="1346"/>
      <c r="C986" s="1347"/>
      <c r="D986" s="438" t="s">
        <v>88</v>
      </c>
      <c r="E986" s="438" t="s">
        <v>89</v>
      </c>
      <c r="F986" s="438" t="s">
        <v>90</v>
      </c>
      <c r="G986" s="439" t="s">
        <v>84</v>
      </c>
      <c r="H986" s="457"/>
    </row>
    <row r="987" spans="1:9">
      <c r="A987" s="458" t="s">
        <v>489</v>
      </c>
      <c r="B987" s="467"/>
      <c r="C987" s="468"/>
      <c r="D987" s="459" t="s">
        <v>271</v>
      </c>
      <c r="E987" s="1013">
        <f>63000</f>
        <v>63000</v>
      </c>
      <c r="F987" s="440">
        <v>1.05</v>
      </c>
      <c r="G987" s="432">
        <f>E987*F987</f>
        <v>66150</v>
      </c>
      <c r="H987" s="460"/>
      <c r="I987" s="672"/>
    </row>
    <row r="988" spans="1:9">
      <c r="A988" s="469" t="s">
        <v>1114</v>
      </c>
      <c r="B988" s="467"/>
      <c r="C988" s="468"/>
      <c r="D988" s="459" t="s">
        <v>173</v>
      </c>
      <c r="E988" s="1014">
        <v>13950</v>
      </c>
      <c r="F988" s="440">
        <v>0.05</v>
      </c>
      <c r="G988" s="432">
        <f>F988*E988</f>
        <v>697.5</v>
      </c>
      <c r="H988" s="460"/>
    </row>
    <row r="989" spans="1:9">
      <c r="A989" s="469" t="s">
        <v>1115</v>
      </c>
      <c r="B989" s="467"/>
      <c r="C989" s="471"/>
      <c r="D989" s="459" t="s">
        <v>173</v>
      </c>
      <c r="E989" s="1014">
        <v>3500</v>
      </c>
      <c r="F989" s="431">
        <v>0.4</v>
      </c>
      <c r="G989" s="432">
        <f>F989*E989</f>
        <v>1400</v>
      </c>
      <c r="H989" s="460"/>
    </row>
    <row r="990" spans="1:9">
      <c r="A990" s="469" t="s">
        <v>1116</v>
      </c>
      <c r="B990" s="467"/>
      <c r="C990" s="468"/>
      <c r="D990" s="459" t="s">
        <v>173</v>
      </c>
      <c r="E990" s="1013">
        <v>71900</v>
      </c>
      <c r="F990" s="431">
        <f>(1/100)</f>
        <v>0.01</v>
      </c>
      <c r="G990" s="432">
        <f>F990*E990</f>
        <v>719</v>
      </c>
      <c r="H990" s="460"/>
    </row>
    <row r="991" spans="1:9">
      <c r="A991" s="469"/>
      <c r="B991" s="467"/>
      <c r="C991" s="468"/>
      <c r="D991" s="459"/>
      <c r="E991" s="430"/>
      <c r="F991" s="431"/>
      <c r="G991" s="432"/>
      <c r="H991" s="460"/>
    </row>
    <row r="992" spans="1:9" ht="15.75" thickBot="1">
      <c r="A992" s="472"/>
      <c r="B992" s="473"/>
      <c r="C992" s="474"/>
      <c r="D992" s="464"/>
      <c r="E992" s="433"/>
      <c r="F992" s="434"/>
      <c r="G992" s="435"/>
      <c r="H992" s="465"/>
    </row>
    <row r="993" spans="1:10" ht="15.75" thickBot="1">
      <c r="A993" s="436"/>
      <c r="B993" s="436"/>
      <c r="C993" s="436"/>
      <c r="D993" s="436"/>
      <c r="E993" s="436"/>
      <c r="F993" s="436"/>
      <c r="G993" s="437" t="s">
        <v>86</v>
      </c>
      <c r="H993" s="466">
        <f>SUM(G987:G992)</f>
        <v>68966.5</v>
      </c>
    </row>
    <row r="994" spans="1:10" ht="15.75" thickBot="1">
      <c r="A994" s="450" t="s">
        <v>94</v>
      </c>
      <c r="B994" s="450"/>
      <c r="C994" s="436"/>
      <c r="D994" s="436"/>
      <c r="E994" s="436"/>
      <c r="F994" s="436"/>
      <c r="G994" s="436"/>
      <c r="H994" s="436"/>
    </row>
    <row r="995" spans="1:10">
      <c r="A995" s="1345" t="s">
        <v>95</v>
      </c>
      <c r="B995" s="1346"/>
      <c r="C995" s="1347"/>
      <c r="D995" s="438" t="s">
        <v>88</v>
      </c>
      <c r="E995" s="438" t="s">
        <v>89</v>
      </c>
      <c r="F995" s="438" t="s">
        <v>90</v>
      </c>
      <c r="G995" s="439" t="s">
        <v>84</v>
      </c>
      <c r="H995" s="457"/>
    </row>
    <row r="996" spans="1:10">
      <c r="A996" s="458" t="s">
        <v>235</v>
      </c>
      <c r="B996" s="467"/>
      <c r="C996" s="468"/>
      <c r="D996" s="459" t="s">
        <v>271</v>
      </c>
      <c r="E996" s="430">
        <v>7500</v>
      </c>
      <c r="F996" s="440">
        <v>1</v>
      </c>
      <c r="G996" s="432">
        <f>E996*F996</f>
        <v>7500</v>
      </c>
      <c r="H996" s="460"/>
    </row>
    <row r="997" spans="1:10" ht="15.75" thickBot="1">
      <c r="A997" s="1342"/>
      <c r="B997" s="1343"/>
      <c r="C997" s="1344"/>
      <c r="D997" s="475"/>
      <c r="E997" s="433"/>
      <c r="F997" s="434"/>
      <c r="G997" s="441"/>
      <c r="H997" s="460"/>
    </row>
    <row r="998" spans="1:10" ht="15.75" thickBot="1">
      <c r="A998" s="436"/>
      <c r="B998" s="436"/>
      <c r="C998" s="436"/>
      <c r="D998" s="436"/>
      <c r="E998" s="436"/>
      <c r="F998" s="436"/>
      <c r="G998" s="437" t="s">
        <v>86</v>
      </c>
      <c r="H998" s="466">
        <f>SUM(G996:G997)</f>
        <v>7500</v>
      </c>
      <c r="I998" s="677"/>
    </row>
    <row r="999" spans="1:10" ht="15.75" thickBot="1">
      <c r="A999" s="450" t="s">
        <v>96</v>
      </c>
      <c r="B999" s="450"/>
      <c r="C999" s="436"/>
      <c r="D999" s="436"/>
      <c r="E999" s="436"/>
      <c r="F999" s="436"/>
      <c r="G999" s="436"/>
      <c r="H999" s="436"/>
    </row>
    <row r="1000" spans="1:10">
      <c r="A1000" s="476" t="s">
        <v>97</v>
      </c>
      <c r="B1000" s="438"/>
      <c r="C1000" s="438" t="s">
        <v>98</v>
      </c>
      <c r="D1000" s="438" t="s">
        <v>99</v>
      </c>
      <c r="E1000" s="442" t="s">
        <v>100</v>
      </c>
      <c r="F1000" s="443" t="s">
        <v>83</v>
      </c>
      <c r="G1000" s="444" t="s">
        <v>84</v>
      </c>
      <c r="H1000" s="477"/>
    </row>
    <row r="1001" spans="1:10">
      <c r="A1001" s="478" t="s">
        <v>101</v>
      </c>
      <c r="B1001" s="467"/>
      <c r="C1001" s="479">
        <f>+PERSONAL!$E$34</f>
        <v>100000</v>
      </c>
      <c r="D1001" s="480">
        <f>PERSONAL!$F$31</f>
        <v>1.7431000000000001</v>
      </c>
      <c r="E1001" s="440">
        <f>+D1001*C1001</f>
        <v>174310</v>
      </c>
      <c r="F1001" s="440">
        <v>7</v>
      </c>
      <c r="G1001" s="445">
        <f>ROUND(E1001/F1001,0)</f>
        <v>24901</v>
      </c>
      <c r="H1001" s="451"/>
    </row>
    <row r="1002" spans="1:10">
      <c r="A1002" s="478"/>
      <c r="B1002" s="467"/>
      <c r="C1002" s="479"/>
      <c r="D1002" s="480"/>
      <c r="E1002" s="440"/>
      <c r="F1002" s="440"/>
      <c r="G1002" s="445"/>
      <c r="H1002" s="451"/>
    </row>
    <row r="1003" spans="1:10">
      <c r="A1003" s="478"/>
      <c r="B1003" s="468"/>
      <c r="C1003" s="430"/>
      <c r="D1003" s="459"/>
      <c r="E1003" s="430"/>
      <c r="F1003" s="440"/>
      <c r="G1003" s="445"/>
      <c r="H1003" s="451"/>
    </row>
    <row r="1004" spans="1:10">
      <c r="A1004" s="478"/>
      <c r="B1004" s="468"/>
      <c r="C1004" s="430"/>
      <c r="D1004" s="459"/>
      <c r="E1004" s="430"/>
      <c r="F1004" s="440"/>
      <c r="G1004" s="445"/>
      <c r="H1004" s="451"/>
    </row>
    <row r="1005" spans="1:10" ht="15.75" thickBot="1">
      <c r="A1005" s="481"/>
      <c r="B1005" s="474"/>
      <c r="C1005" s="474"/>
      <c r="D1005" s="474"/>
      <c r="E1005" s="474"/>
      <c r="F1005" s="474"/>
      <c r="G1005" s="482"/>
      <c r="H1005" s="482"/>
    </row>
    <row r="1006" spans="1:10" ht="15.75" thickBot="1">
      <c r="A1006" s="436"/>
      <c r="B1006" s="436"/>
      <c r="C1006" s="436"/>
      <c r="D1006" s="436"/>
      <c r="E1006" s="436"/>
      <c r="F1006" s="436"/>
      <c r="G1006" s="437" t="s">
        <v>86</v>
      </c>
      <c r="H1006" s="466">
        <f>SUM(G1001:G1005)</f>
        <v>24901</v>
      </c>
      <c r="I1006" s="677"/>
    </row>
    <row r="1007" spans="1:10" ht="15.75" thickBot="1">
      <c r="A1007" s="436"/>
      <c r="B1007" s="436"/>
      <c r="C1007" s="436"/>
      <c r="D1007" s="436"/>
      <c r="E1007" s="436"/>
      <c r="F1007" s="436"/>
      <c r="G1007" s="483"/>
      <c r="H1007" s="436"/>
    </row>
    <row r="1008" spans="1:10" ht="15.75" thickBot="1">
      <c r="A1008" s="436"/>
      <c r="B1008" s="436"/>
      <c r="C1008" s="436"/>
      <c r="D1008" s="436"/>
      <c r="E1008" s="484" t="s">
        <v>102</v>
      </c>
      <c r="F1008" s="485"/>
      <c r="G1008" s="485"/>
      <c r="H1008" s="466">
        <f>H984+H993+H998+H1006</f>
        <v>108000.45714285714</v>
      </c>
      <c r="J1008" s="486"/>
    </row>
    <row r="1009" spans="1:10" ht="15.75" thickBot="1">
      <c r="A1009" s="450" t="s">
        <v>103</v>
      </c>
      <c r="B1009" s="450"/>
      <c r="C1009" s="436"/>
      <c r="D1009" s="436"/>
      <c r="E1009" s="436"/>
      <c r="F1009" s="436"/>
      <c r="G1009" s="436"/>
      <c r="H1009" s="436"/>
    </row>
    <row r="1010" spans="1:10">
      <c r="A1010" s="487" t="s">
        <v>80</v>
      </c>
      <c r="B1010" s="488"/>
      <c r="C1010" s="488"/>
      <c r="D1010" s="488"/>
      <c r="E1010" s="489"/>
      <c r="F1010" s="490" t="s">
        <v>104</v>
      </c>
      <c r="G1010" s="491" t="s">
        <v>105</v>
      </c>
      <c r="H1010" s="457"/>
    </row>
    <row r="1011" spans="1:10">
      <c r="A1011" s="469" t="s">
        <v>106</v>
      </c>
      <c r="B1011" s="467"/>
      <c r="C1011" s="467"/>
      <c r="D1011" s="467"/>
      <c r="E1011" s="468"/>
      <c r="F1011" s="492">
        <f>PRESUPUESTO!$E$222</f>
        <v>0.109</v>
      </c>
      <c r="G1011" s="493">
        <f>+F1011*H1008</f>
        <v>11772.049828571427</v>
      </c>
      <c r="H1011" s="460"/>
    </row>
    <row r="1012" spans="1:10">
      <c r="A1012" s="469" t="s">
        <v>107</v>
      </c>
      <c r="B1012" s="467"/>
      <c r="C1012" s="467"/>
      <c r="D1012" s="467"/>
      <c r="E1012" s="468"/>
      <c r="F1012" s="492">
        <f>PRESUPUESTO!$E$223</f>
        <v>0.05</v>
      </c>
      <c r="G1012" s="493">
        <f>+F1012*H1008</f>
        <v>5400.022857142857</v>
      </c>
      <c r="H1012" s="460"/>
    </row>
    <row r="1013" spans="1:10" ht="15.75" thickBot="1">
      <c r="A1013" s="472" t="s">
        <v>108</v>
      </c>
      <c r="B1013" s="473"/>
      <c r="C1013" s="473"/>
      <c r="D1013" s="473"/>
      <c r="E1013" s="474"/>
      <c r="F1013" s="494">
        <v>0</v>
      </c>
      <c r="G1013" s="495">
        <f>+F1013*H1008</f>
        <v>0</v>
      </c>
      <c r="H1013" s="465"/>
    </row>
    <row r="1014" spans="1:10" ht="15.75" thickBot="1">
      <c r="A1014" s="436"/>
      <c r="B1014" s="436"/>
      <c r="C1014" s="436"/>
      <c r="D1014" s="436"/>
      <c r="E1014" s="436"/>
      <c r="F1014" s="436"/>
      <c r="G1014" s="437" t="s">
        <v>86</v>
      </c>
      <c r="H1014" s="496">
        <f>SUM(G1011:G1013)</f>
        <v>17172.072685714284</v>
      </c>
    </row>
    <row r="1015" spans="1:10" ht="15.75" thickBot="1">
      <c r="A1015" s="436"/>
      <c r="B1015" s="436"/>
      <c r="C1015" s="436"/>
      <c r="D1015" s="436"/>
      <c r="E1015" s="436"/>
      <c r="F1015" s="436"/>
      <c r="G1015" s="436"/>
      <c r="H1015" s="436"/>
    </row>
    <row r="1016" spans="1:10" ht="15.75" thickBot="1">
      <c r="A1016" s="446"/>
      <c r="B1016" s="446"/>
      <c r="C1016" s="436"/>
      <c r="D1016" s="484" t="s">
        <v>109</v>
      </c>
      <c r="E1016" s="485"/>
      <c r="F1016" s="485"/>
      <c r="G1016" s="485"/>
      <c r="H1016" s="466">
        <f>ROUND((H1008+H1014),0)</f>
        <v>125173</v>
      </c>
    </row>
    <row r="1017" spans="1:10">
      <c r="A1017" s="446"/>
      <c r="B1017" s="446"/>
      <c r="C1017" s="446"/>
      <c r="D1017" s="446"/>
      <c r="E1017" s="446"/>
      <c r="F1017" s="446"/>
      <c r="G1017" s="446"/>
      <c r="H1017" s="446"/>
    </row>
    <row r="1018" spans="1:10">
      <c r="A1018" s="186" t="s">
        <v>77</v>
      </c>
      <c r="B1018" s="446"/>
      <c r="C1018" s="446"/>
      <c r="D1018" s="446"/>
      <c r="E1018" s="446"/>
      <c r="F1018" s="446"/>
      <c r="G1018" s="446"/>
      <c r="H1018" s="446"/>
    </row>
    <row r="1019" spans="1:10" ht="15.75" thickBot="1">
      <c r="A1019" s="446"/>
      <c r="B1019" s="446"/>
      <c r="C1019" s="446"/>
      <c r="D1019" s="446"/>
      <c r="E1019" s="446"/>
      <c r="F1019" s="446"/>
      <c r="G1019" s="446"/>
      <c r="H1019" s="446"/>
    </row>
    <row r="1020" spans="1:10">
      <c r="A1020" s="1348" t="s">
        <v>213</v>
      </c>
      <c r="B1020" s="1349"/>
      <c r="C1020" s="1350"/>
      <c r="D1020" s="448"/>
      <c r="E1020" s="448"/>
      <c r="F1020" s="448"/>
      <c r="G1020" s="448"/>
      <c r="H1020" s="449"/>
    </row>
    <row r="1021" spans="1:10">
      <c r="A1021" s="1351"/>
      <c r="B1021" s="1352"/>
      <c r="C1021" s="1353"/>
      <c r="D1021" s="436"/>
      <c r="E1021" s="450" t="s">
        <v>78</v>
      </c>
      <c r="F1021" s="436"/>
      <c r="G1021" s="436"/>
      <c r="H1021" s="451"/>
    </row>
    <row r="1022" spans="1:10" ht="15.75" thickBot="1">
      <c r="A1022" s="1354"/>
      <c r="B1022" s="1355"/>
      <c r="C1022" s="1356"/>
      <c r="D1022" s="1360"/>
      <c r="E1022" s="1361"/>
      <c r="F1022" s="1361"/>
      <c r="G1022" s="1361"/>
      <c r="H1022" s="1362"/>
    </row>
    <row r="1023" spans="1:10">
      <c r="A1023" s="455"/>
      <c r="B1023" s="436"/>
      <c r="C1023" s="436"/>
      <c r="D1023" s="436"/>
      <c r="E1023" s="436"/>
      <c r="F1023" s="436"/>
      <c r="G1023" s="436"/>
      <c r="H1023" s="436"/>
    </row>
    <row r="1024" spans="1:10" s="446" customFormat="1" ht="12.75">
      <c r="A1024" s="455" t="s">
        <v>1146</v>
      </c>
      <c r="B1024" s="456" t="str">
        <f>+PRESUPUESTO!$B$70</f>
        <v>INSTALACIONES ELÉCTRICAS</v>
      </c>
      <c r="C1024" s="436"/>
      <c r="E1024" s="456"/>
      <c r="G1024" s="456" t="s">
        <v>1123</v>
      </c>
      <c r="H1024" s="483" t="s">
        <v>1185</v>
      </c>
      <c r="I1024" s="436"/>
      <c r="J1024" s="436"/>
    </row>
    <row r="1025" spans="1:9" s="931" customFormat="1" ht="52.15" customHeight="1">
      <c r="A1025" s="928" t="s">
        <v>1122</v>
      </c>
      <c r="B1025" s="1375" t="str">
        <f>VLOOKUP(H1024,PRESUPUESTO!$A$18:$F$251,2,FALSE)</f>
        <v>Suministro, Transporte e Instalación de Bajante metálico galvanizado pesado IMC de 2".</v>
      </c>
      <c r="C1025" s="1375"/>
      <c r="D1025" s="1375"/>
      <c r="E1025" s="1375"/>
      <c r="F1025" s="1375"/>
      <c r="G1025" s="929" t="s">
        <v>9</v>
      </c>
      <c r="H1025" s="1024" t="str">
        <f>VLOOKUP(H1024,PRESUPUESTO!$A$18:$F$251,3,FALSE)</f>
        <v>ml</v>
      </c>
    </row>
    <row r="1026" spans="1:9">
      <c r="A1026" s="456"/>
      <c r="B1026" s="456"/>
      <c r="C1026" s="436"/>
      <c r="D1026" s="456"/>
      <c r="E1026" s="456"/>
      <c r="F1026" s="456"/>
      <c r="G1026" s="456"/>
      <c r="H1026" s="436"/>
    </row>
    <row r="1027" spans="1:9" ht="15.75" thickBot="1">
      <c r="A1027" s="450" t="s">
        <v>79</v>
      </c>
      <c r="B1027" s="450"/>
      <c r="C1027" s="436"/>
      <c r="D1027" s="436"/>
      <c r="E1027" s="436"/>
      <c r="F1027" s="436"/>
      <c r="G1027" s="436"/>
      <c r="H1027" s="436"/>
    </row>
    <row r="1028" spans="1:9">
      <c r="A1028" s="1345" t="s">
        <v>80</v>
      </c>
      <c r="B1028" s="1346"/>
      <c r="C1028" s="1347"/>
      <c r="D1028" s="438" t="s">
        <v>81</v>
      </c>
      <c r="E1028" s="438" t="s">
        <v>82</v>
      </c>
      <c r="F1028" s="438" t="s">
        <v>83</v>
      </c>
      <c r="G1028" s="439" t="s">
        <v>84</v>
      </c>
      <c r="H1028" s="457"/>
    </row>
    <row r="1029" spans="1:9">
      <c r="A1029" s="1357" t="s">
        <v>471</v>
      </c>
      <c r="B1029" s="1358"/>
      <c r="C1029" s="1359"/>
      <c r="D1029" s="459" t="s">
        <v>268</v>
      </c>
      <c r="E1029" s="440">
        <f>+H1054*0.1</f>
        <v>1743.1000000000001</v>
      </c>
      <c r="F1029" s="440">
        <v>1</v>
      </c>
      <c r="G1029" s="432">
        <f>E1029*F1029</f>
        <v>1743.1000000000001</v>
      </c>
      <c r="H1029" s="460"/>
    </row>
    <row r="1030" spans="1:9">
      <c r="A1030" s="1357" t="s">
        <v>215</v>
      </c>
      <c r="B1030" s="1358"/>
      <c r="C1030" s="1359"/>
      <c r="D1030" s="461" t="s">
        <v>263</v>
      </c>
      <c r="E1030" s="462">
        <f>MATERIALES!$C$4</f>
        <v>14500</v>
      </c>
      <c r="F1030" s="440">
        <f>4/F1049</f>
        <v>0.4</v>
      </c>
      <c r="G1030" s="432">
        <f>E1030*F1030</f>
        <v>5800</v>
      </c>
      <c r="H1030" s="460"/>
    </row>
    <row r="1031" spans="1:9" ht="15.75" thickBot="1">
      <c r="A1031" s="1342"/>
      <c r="B1031" s="1343"/>
      <c r="C1031" s="1344"/>
      <c r="D1031" s="464"/>
      <c r="E1031" s="433"/>
      <c r="F1031" s="434"/>
      <c r="G1031" s="441">
        <f>E1031*F1031</f>
        <v>0</v>
      </c>
      <c r="H1031" s="465"/>
    </row>
    <row r="1032" spans="1:9" ht="15.75" thickBot="1">
      <c r="A1032" s="436"/>
      <c r="B1032" s="436"/>
      <c r="C1032" s="436"/>
      <c r="D1032" s="436"/>
      <c r="E1032" s="436"/>
      <c r="F1032" s="436"/>
      <c r="G1032" s="437" t="s">
        <v>86</v>
      </c>
      <c r="H1032" s="466">
        <f>SUM(G1029:G1031)</f>
        <v>7543.1</v>
      </c>
    </row>
    <row r="1033" spans="1:9" ht="15.75" thickBot="1">
      <c r="A1033" s="450" t="s">
        <v>87</v>
      </c>
      <c r="B1033" s="450"/>
      <c r="C1033" s="436"/>
      <c r="D1033" s="436"/>
      <c r="E1033" s="436"/>
      <c r="F1033" s="436"/>
      <c r="G1033" s="436"/>
      <c r="H1033" s="436"/>
    </row>
    <row r="1034" spans="1:9">
      <c r="A1034" s="1345" t="s">
        <v>80</v>
      </c>
      <c r="B1034" s="1346"/>
      <c r="C1034" s="1347"/>
      <c r="D1034" s="438" t="s">
        <v>88</v>
      </c>
      <c r="E1034" s="438" t="s">
        <v>89</v>
      </c>
      <c r="F1034" s="438" t="s">
        <v>90</v>
      </c>
      <c r="G1034" s="439" t="s">
        <v>84</v>
      </c>
      <c r="H1034" s="457"/>
    </row>
    <row r="1035" spans="1:9">
      <c r="A1035" s="458" t="s">
        <v>1120</v>
      </c>
      <c r="B1035" s="467"/>
      <c r="C1035" s="468"/>
      <c r="D1035" s="459" t="s">
        <v>271</v>
      </c>
      <c r="E1035" s="1013">
        <f>183000/3</f>
        <v>61000</v>
      </c>
      <c r="F1035" s="440">
        <v>1.05</v>
      </c>
      <c r="G1035" s="432">
        <f>E1035*F1035</f>
        <v>64050</v>
      </c>
      <c r="H1035" s="460"/>
      <c r="I1035" s="672" t="s">
        <v>1106</v>
      </c>
    </row>
    <row r="1036" spans="1:9">
      <c r="A1036" s="469" t="s">
        <v>1121</v>
      </c>
      <c r="B1036" s="467"/>
      <c r="C1036" s="468"/>
      <c r="D1036" s="459" t="s">
        <v>268</v>
      </c>
      <c r="E1036" s="1013">
        <f>24500</f>
        <v>24500</v>
      </c>
      <c r="F1036" s="440">
        <v>1</v>
      </c>
      <c r="G1036" s="432">
        <f>E1036*F1036</f>
        <v>24500</v>
      </c>
      <c r="H1036" s="460"/>
    </row>
    <row r="1037" spans="1:9">
      <c r="A1037" s="469" t="s">
        <v>423</v>
      </c>
      <c r="B1037" s="467"/>
      <c r="C1037" s="471"/>
      <c r="D1037" s="459" t="s">
        <v>268</v>
      </c>
      <c r="E1037" s="1014">
        <v>39900</v>
      </c>
      <c r="F1037" s="440">
        <f>1/30</f>
        <v>3.3333333333333333E-2</v>
      </c>
      <c r="G1037" s="432">
        <f>E1037*F1037</f>
        <v>1330</v>
      </c>
      <c r="H1037" s="460"/>
    </row>
    <row r="1038" spans="1:9">
      <c r="A1038" s="469" t="s">
        <v>424</v>
      </c>
      <c r="B1038" s="467"/>
      <c r="C1038" s="468"/>
      <c r="D1038" s="459" t="s">
        <v>268</v>
      </c>
      <c r="E1038" s="430">
        <f>1.15*500</f>
        <v>575</v>
      </c>
      <c r="F1038" s="440">
        <v>0.2</v>
      </c>
      <c r="G1038" s="432">
        <f>E1038*F1038</f>
        <v>115</v>
      </c>
      <c r="H1038" s="460"/>
    </row>
    <row r="1039" spans="1:9">
      <c r="A1039" s="469"/>
      <c r="B1039" s="467"/>
      <c r="C1039" s="468"/>
      <c r="D1039" s="459"/>
      <c r="E1039" s="430"/>
      <c r="F1039" s="431"/>
      <c r="G1039" s="432"/>
      <c r="H1039" s="460"/>
    </row>
    <row r="1040" spans="1:9" ht="15.75" thickBot="1">
      <c r="A1040" s="472"/>
      <c r="B1040" s="473"/>
      <c r="C1040" s="474"/>
      <c r="D1040" s="464"/>
      <c r="E1040" s="433"/>
      <c r="F1040" s="434"/>
      <c r="G1040" s="435"/>
      <c r="H1040" s="465"/>
    </row>
    <row r="1041" spans="1:10" ht="15.75" thickBot="1">
      <c r="A1041" s="436"/>
      <c r="B1041" s="436"/>
      <c r="C1041" s="436"/>
      <c r="D1041" s="436"/>
      <c r="E1041" s="436"/>
      <c r="F1041" s="436"/>
      <c r="G1041" s="437" t="s">
        <v>86</v>
      </c>
      <c r="H1041" s="466">
        <f>SUM(G1035:G1040)</f>
        <v>89995</v>
      </c>
    </row>
    <row r="1042" spans="1:10" ht="15.75" thickBot="1">
      <c r="A1042" s="450" t="s">
        <v>94</v>
      </c>
      <c r="B1042" s="450"/>
      <c r="C1042" s="436"/>
      <c r="D1042" s="436"/>
      <c r="E1042" s="436"/>
      <c r="F1042" s="436"/>
      <c r="G1042" s="436"/>
      <c r="H1042" s="436"/>
    </row>
    <row r="1043" spans="1:10">
      <c r="A1043" s="1345" t="s">
        <v>95</v>
      </c>
      <c r="B1043" s="1346"/>
      <c r="C1043" s="1347"/>
      <c r="D1043" s="438" t="s">
        <v>88</v>
      </c>
      <c r="E1043" s="438" t="s">
        <v>89</v>
      </c>
      <c r="F1043" s="438" t="s">
        <v>90</v>
      </c>
      <c r="G1043" s="439" t="s">
        <v>84</v>
      </c>
      <c r="H1043" s="457"/>
    </row>
    <row r="1044" spans="1:10">
      <c r="A1044" s="458" t="s">
        <v>235</v>
      </c>
      <c r="B1044" s="467"/>
      <c r="C1044" s="468"/>
      <c r="D1044" s="459" t="s">
        <v>271</v>
      </c>
      <c r="E1044" s="430">
        <v>5500</v>
      </c>
      <c r="F1044" s="440">
        <v>1</v>
      </c>
      <c r="G1044" s="432">
        <f>E1044*F1044</f>
        <v>5500</v>
      </c>
      <c r="H1044" s="460"/>
    </row>
    <row r="1045" spans="1:10" ht="15.75" thickBot="1">
      <c r="A1045" s="1342"/>
      <c r="B1045" s="1343"/>
      <c r="C1045" s="1344"/>
      <c r="D1045" s="475"/>
      <c r="E1045" s="433"/>
      <c r="F1045" s="434"/>
      <c r="G1045" s="441"/>
      <c r="H1045" s="460"/>
    </row>
    <row r="1046" spans="1:10" ht="15.75" thickBot="1">
      <c r="A1046" s="436"/>
      <c r="B1046" s="436"/>
      <c r="C1046" s="436"/>
      <c r="D1046" s="436"/>
      <c r="E1046" s="436"/>
      <c r="F1046" s="436"/>
      <c r="G1046" s="437" t="s">
        <v>86</v>
      </c>
      <c r="H1046" s="466">
        <f>SUM(G1044:G1045)</f>
        <v>5500</v>
      </c>
      <c r="I1046" s="677"/>
    </row>
    <row r="1047" spans="1:10" ht="15.75" thickBot="1">
      <c r="A1047" s="450" t="s">
        <v>96</v>
      </c>
      <c r="B1047" s="450"/>
      <c r="C1047" s="436"/>
      <c r="D1047" s="436"/>
      <c r="E1047" s="436"/>
      <c r="F1047" s="436"/>
      <c r="G1047" s="436"/>
      <c r="H1047" s="436"/>
    </row>
    <row r="1048" spans="1:10">
      <c r="A1048" s="476" t="s">
        <v>97</v>
      </c>
      <c r="B1048" s="438"/>
      <c r="C1048" s="438" t="s">
        <v>98</v>
      </c>
      <c r="D1048" s="438" t="s">
        <v>99</v>
      </c>
      <c r="E1048" s="442" t="s">
        <v>100</v>
      </c>
      <c r="F1048" s="443" t="s">
        <v>83</v>
      </c>
      <c r="G1048" s="444" t="s">
        <v>84</v>
      </c>
      <c r="H1048" s="477"/>
    </row>
    <row r="1049" spans="1:10">
      <c r="A1049" s="478" t="s">
        <v>101</v>
      </c>
      <c r="B1049" s="467"/>
      <c r="C1049" s="479">
        <f>+PERSONAL!$E$34</f>
        <v>100000</v>
      </c>
      <c r="D1049" s="480">
        <f>PERSONAL!$F$31</f>
        <v>1.7431000000000001</v>
      </c>
      <c r="E1049" s="440">
        <f>+D1049*C1049</f>
        <v>174310</v>
      </c>
      <c r="F1049" s="440">
        <v>10</v>
      </c>
      <c r="G1049" s="445">
        <f>ROUND(E1049/F1049,0)</f>
        <v>17431</v>
      </c>
      <c r="H1049" s="451"/>
    </row>
    <row r="1050" spans="1:10">
      <c r="A1050" s="478"/>
      <c r="B1050" s="467"/>
      <c r="C1050" s="479"/>
      <c r="D1050" s="480"/>
      <c r="E1050" s="440"/>
      <c r="F1050" s="440"/>
      <c r="G1050" s="445"/>
      <c r="H1050" s="451"/>
    </row>
    <row r="1051" spans="1:10">
      <c r="A1051" s="478"/>
      <c r="B1051" s="468"/>
      <c r="C1051" s="430"/>
      <c r="D1051" s="459"/>
      <c r="E1051" s="430"/>
      <c r="F1051" s="440"/>
      <c r="G1051" s="445"/>
      <c r="H1051" s="451"/>
    </row>
    <row r="1052" spans="1:10">
      <c r="A1052" s="478"/>
      <c r="B1052" s="468"/>
      <c r="C1052" s="430"/>
      <c r="D1052" s="459"/>
      <c r="E1052" s="430"/>
      <c r="F1052" s="440"/>
      <c r="G1052" s="445"/>
      <c r="H1052" s="451"/>
    </row>
    <row r="1053" spans="1:10" ht="15.75" thickBot="1">
      <c r="A1053" s="481"/>
      <c r="B1053" s="474"/>
      <c r="C1053" s="474"/>
      <c r="D1053" s="474"/>
      <c r="E1053" s="474"/>
      <c r="F1053" s="474"/>
      <c r="G1053" s="482"/>
      <c r="H1053" s="482"/>
    </row>
    <row r="1054" spans="1:10" ht="15.75" thickBot="1">
      <c r="A1054" s="436"/>
      <c r="B1054" s="436"/>
      <c r="C1054" s="436"/>
      <c r="D1054" s="436"/>
      <c r="E1054" s="436"/>
      <c r="F1054" s="436"/>
      <c r="G1054" s="437" t="s">
        <v>86</v>
      </c>
      <c r="H1054" s="466">
        <f>SUM(G1049:G1053)</f>
        <v>17431</v>
      </c>
      <c r="I1054" s="677"/>
    </row>
    <row r="1055" spans="1:10" ht="15.75" thickBot="1">
      <c r="A1055" s="436"/>
      <c r="B1055" s="436"/>
      <c r="C1055" s="436"/>
      <c r="D1055" s="436"/>
      <c r="E1055" s="436"/>
      <c r="F1055" s="436"/>
      <c r="G1055" s="483"/>
      <c r="H1055" s="436"/>
    </row>
    <row r="1056" spans="1:10" ht="15.75" thickBot="1">
      <c r="A1056" s="436"/>
      <c r="B1056" s="436"/>
      <c r="C1056" s="436"/>
      <c r="D1056" s="436"/>
      <c r="E1056" s="484" t="s">
        <v>102</v>
      </c>
      <c r="F1056" s="485"/>
      <c r="G1056" s="485"/>
      <c r="H1056" s="466">
        <f>H1032+H1041+H1046+H1054</f>
        <v>120469.1</v>
      </c>
      <c r="J1056" s="486"/>
    </row>
    <row r="1057" spans="1:10" ht="15.75" thickBot="1">
      <c r="A1057" s="450" t="s">
        <v>103</v>
      </c>
      <c r="B1057" s="450"/>
      <c r="C1057" s="436"/>
      <c r="D1057" s="436"/>
      <c r="E1057" s="436"/>
      <c r="F1057" s="436"/>
      <c r="G1057" s="436"/>
      <c r="H1057" s="436"/>
    </row>
    <row r="1058" spans="1:10">
      <c r="A1058" s="487" t="s">
        <v>80</v>
      </c>
      <c r="B1058" s="488"/>
      <c r="C1058" s="488"/>
      <c r="D1058" s="488"/>
      <c r="E1058" s="489"/>
      <c r="F1058" s="490" t="s">
        <v>104</v>
      </c>
      <c r="G1058" s="491" t="s">
        <v>105</v>
      </c>
      <c r="H1058" s="457"/>
    </row>
    <row r="1059" spans="1:10">
      <c r="A1059" s="469" t="s">
        <v>106</v>
      </c>
      <c r="B1059" s="467"/>
      <c r="C1059" s="467"/>
      <c r="D1059" s="467"/>
      <c r="E1059" s="468"/>
      <c r="F1059" s="492">
        <f>PRESUPUESTO!$E$222</f>
        <v>0.109</v>
      </c>
      <c r="G1059" s="493">
        <f>+F1059*H1056</f>
        <v>13131.1319</v>
      </c>
      <c r="H1059" s="460"/>
    </row>
    <row r="1060" spans="1:10">
      <c r="A1060" s="469" t="s">
        <v>107</v>
      </c>
      <c r="B1060" s="467"/>
      <c r="C1060" s="467"/>
      <c r="D1060" s="467"/>
      <c r="E1060" s="468"/>
      <c r="F1060" s="492">
        <f>PRESUPUESTO!$E$223</f>
        <v>0.05</v>
      </c>
      <c r="G1060" s="493">
        <f>+F1060*H1056</f>
        <v>6023.4550000000008</v>
      </c>
      <c r="H1060" s="460"/>
    </row>
    <row r="1061" spans="1:10" ht="15.75" thickBot="1">
      <c r="A1061" s="472" t="s">
        <v>108</v>
      </c>
      <c r="B1061" s="473"/>
      <c r="C1061" s="473"/>
      <c r="D1061" s="473"/>
      <c r="E1061" s="474"/>
      <c r="F1061" s="494">
        <v>0</v>
      </c>
      <c r="G1061" s="495">
        <f>+F1061*H1056</f>
        <v>0</v>
      </c>
      <c r="H1061" s="465"/>
    </row>
    <row r="1062" spans="1:10" ht="15.75" thickBot="1">
      <c r="A1062" s="436"/>
      <c r="B1062" s="436"/>
      <c r="C1062" s="436"/>
      <c r="D1062" s="436"/>
      <c r="E1062" s="436"/>
      <c r="F1062" s="436"/>
      <c r="G1062" s="437" t="s">
        <v>86</v>
      </c>
      <c r="H1062" s="496">
        <f>SUM(G1059:G1061)</f>
        <v>19154.586900000002</v>
      </c>
    </row>
    <row r="1063" spans="1:10" ht="15.75" thickBot="1">
      <c r="A1063" s="436"/>
      <c r="B1063" s="436"/>
      <c r="C1063" s="436"/>
      <c r="D1063" s="436"/>
      <c r="E1063" s="436"/>
      <c r="F1063" s="436"/>
      <c r="G1063" s="436"/>
      <c r="H1063" s="436"/>
    </row>
    <row r="1064" spans="1:10" ht="15.75" thickBot="1">
      <c r="A1064" s="446"/>
      <c r="B1064" s="446"/>
      <c r="C1064" s="436"/>
      <c r="D1064" s="484" t="s">
        <v>109</v>
      </c>
      <c r="E1064" s="485"/>
      <c r="F1064" s="485"/>
      <c r="G1064" s="485"/>
      <c r="H1064" s="466">
        <f>ROUND((H1056+H1062),0)</f>
        <v>139624</v>
      </c>
    </row>
    <row r="1066" spans="1:10">
      <c r="A1066" s="186" t="s">
        <v>77</v>
      </c>
      <c r="B1066" s="446"/>
      <c r="C1066" s="446"/>
      <c r="D1066" s="446"/>
      <c r="E1066" s="446"/>
      <c r="F1066" s="446"/>
      <c r="G1066" s="446"/>
      <c r="H1066" s="446"/>
    </row>
    <row r="1067" spans="1:10" ht="15.75" thickBot="1">
      <c r="A1067" s="446"/>
      <c r="B1067" s="446"/>
      <c r="C1067" s="446"/>
      <c r="D1067" s="446"/>
      <c r="E1067" s="446"/>
      <c r="F1067" s="446"/>
      <c r="G1067" s="446"/>
      <c r="H1067" s="446"/>
    </row>
    <row r="1068" spans="1:10">
      <c r="A1068" s="1348" t="s">
        <v>213</v>
      </c>
      <c r="B1068" s="1349"/>
      <c r="C1068" s="1350"/>
      <c r="D1068" s="448"/>
      <c r="E1068" s="448"/>
      <c r="F1068" s="448"/>
      <c r="G1068" s="448"/>
      <c r="H1068" s="449"/>
    </row>
    <row r="1069" spans="1:10">
      <c r="A1069" s="1351"/>
      <c r="B1069" s="1352"/>
      <c r="C1069" s="1353"/>
      <c r="D1069" s="436"/>
      <c r="E1069" s="450" t="s">
        <v>78</v>
      </c>
      <c r="F1069" s="436"/>
      <c r="G1069" s="436"/>
      <c r="H1069" s="451"/>
    </row>
    <row r="1070" spans="1:10" ht="15.75" thickBot="1">
      <c r="A1070" s="1354"/>
      <c r="B1070" s="1355"/>
      <c r="C1070" s="1356"/>
      <c r="D1070" s="1360"/>
      <c r="E1070" s="1361"/>
      <c r="F1070" s="1361"/>
      <c r="G1070" s="1361"/>
      <c r="H1070" s="1362"/>
    </row>
    <row r="1071" spans="1:10">
      <c r="A1071" s="455"/>
      <c r="B1071" s="436"/>
      <c r="C1071" s="436"/>
      <c r="D1071" s="436"/>
      <c r="E1071" s="436"/>
      <c r="F1071" s="436"/>
      <c r="G1071" s="436"/>
      <c r="H1071" s="436"/>
    </row>
    <row r="1072" spans="1:10" s="446" customFormat="1" ht="12.75">
      <c r="A1072" s="455" t="s">
        <v>1146</v>
      </c>
      <c r="B1072" s="456" t="str">
        <f>+PRESUPUESTO!$B$70</f>
        <v>INSTALACIONES ELÉCTRICAS</v>
      </c>
      <c r="C1072" s="436"/>
      <c r="E1072" s="456"/>
      <c r="G1072" s="456" t="s">
        <v>1123</v>
      </c>
      <c r="H1072" s="483" t="s">
        <v>1186</v>
      </c>
      <c r="I1072" s="436"/>
      <c r="J1072" s="436"/>
    </row>
    <row r="1073" spans="1:8" s="931" customFormat="1" ht="52.15" customHeight="1">
      <c r="A1073" s="928" t="s">
        <v>1122</v>
      </c>
      <c r="B1073" s="1375" t="str">
        <f>VLOOKUP(H1072,PRESUPUESTO!$A$18:$F$251,2,FALSE)</f>
        <v xml:space="preserve">Suministro, transporte e instalación de tubería tipo PVC de 2" de diámetro, canalizada, con sus accesorios de montaje, y demás elementos necesarios para su correcta instalación.  </v>
      </c>
      <c r="C1073" s="1375"/>
      <c r="D1073" s="1375"/>
      <c r="E1073" s="1375"/>
      <c r="F1073" s="1375"/>
      <c r="G1073" s="929" t="s">
        <v>9</v>
      </c>
      <c r="H1073" s="1024" t="str">
        <f>VLOOKUP(H1072,PRESUPUESTO!$A$18:$F$251,3,FALSE)</f>
        <v>ml</v>
      </c>
    </row>
    <row r="1074" spans="1:8">
      <c r="A1074" s="456"/>
      <c r="B1074" s="456"/>
      <c r="C1074" s="436"/>
      <c r="D1074" s="456"/>
      <c r="E1074" s="456"/>
      <c r="F1074" s="456"/>
      <c r="G1074" s="456"/>
      <c r="H1074" s="436"/>
    </row>
    <row r="1075" spans="1:8" ht="15.75" thickBot="1">
      <c r="A1075" s="450" t="s">
        <v>79</v>
      </c>
      <c r="B1075" s="450"/>
      <c r="C1075" s="436"/>
      <c r="D1075" s="436"/>
      <c r="E1075" s="436"/>
      <c r="F1075" s="436"/>
      <c r="G1075" s="436"/>
      <c r="H1075" s="436"/>
    </row>
    <row r="1076" spans="1:8">
      <c r="A1076" s="1345" t="s">
        <v>80</v>
      </c>
      <c r="B1076" s="1346"/>
      <c r="C1076" s="1347"/>
      <c r="D1076" s="438" t="s">
        <v>81</v>
      </c>
      <c r="E1076" s="438" t="s">
        <v>82</v>
      </c>
      <c r="F1076" s="438" t="s">
        <v>83</v>
      </c>
      <c r="G1076" s="439" t="s">
        <v>84</v>
      </c>
      <c r="H1076" s="457"/>
    </row>
    <row r="1077" spans="1:8">
      <c r="A1077" s="1357" t="s">
        <v>471</v>
      </c>
      <c r="B1077" s="1358"/>
      <c r="C1077" s="1359"/>
      <c r="D1077" s="459" t="s">
        <v>268</v>
      </c>
      <c r="E1077" s="440">
        <v>1000</v>
      </c>
      <c r="F1077" s="440">
        <v>1</v>
      </c>
      <c r="G1077" s="432">
        <f>E1077*F1077</f>
        <v>1000</v>
      </c>
      <c r="H1077" s="460"/>
    </row>
    <row r="1078" spans="1:8">
      <c r="A1078" s="1357"/>
      <c r="B1078" s="1358"/>
      <c r="C1078" s="1359"/>
      <c r="D1078" s="461"/>
      <c r="E1078" s="462"/>
      <c r="F1078" s="497"/>
      <c r="G1078" s="432">
        <f>E1078*F1078</f>
        <v>0</v>
      </c>
      <c r="H1078" s="460"/>
    </row>
    <row r="1079" spans="1:8" ht="15.75" thickBot="1">
      <c r="A1079" s="1342"/>
      <c r="B1079" s="1343"/>
      <c r="C1079" s="1344"/>
      <c r="D1079" s="464"/>
      <c r="E1079" s="433"/>
      <c r="F1079" s="434"/>
      <c r="G1079" s="441">
        <f>E1079*F1079</f>
        <v>0</v>
      </c>
      <c r="H1079" s="465"/>
    </row>
    <row r="1080" spans="1:8" ht="15.75" thickBot="1">
      <c r="A1080" s="436"/>
      <c r="B1080" s="436"/>
      <c r="C1080" s="436"/>
      <c r="D1080" s="436"/>
      <c r="E1080" s="436"/>
      <c r="F1080" s="436"/>
      <c r="G1080" s="437" t="s">
        <v>86</v>
      </c>
      <c r="H1080" s="466">
        <f>SUM(G1077:G1079)</f>
        <v>1000</v>
      </c>
    </row>
    <row r="1081" spans="1:8" ht="15.75" thickBot="1">
      <c r="A1081" s="450" t="s">
        <v>87</v>
      </c>
      <c r="B1081" s="450"/>
      <c r="C1081" s="436"/>
      <c r="D1081" s="436"/>
      <c r="E1081" s="436"/>
      <c r="F1081" s="436"/>
      <c r="G1081" s="436"/>
      <c r="H1081" s="436"/>
    </row>
    <row r="1082" spans="1:8">
      <c r="A1082" s="1345" t="s">
        <v>80</v>
      </c>
      <c r="B1082" s="1346"/>
      <c r="C1082" s="1347"/>
      <c r="D1082" s="438" t="s">
        <v>88</v>
      </c>
      <c r="E1082" s="438" t="s">
        <v>89</v>
      </c>
      <c r="F1082" s="438" t="s">
        <v>90</v>
      </c>
      <c r="G1082" s="439" t="s">
        <v>84</v>
      </c>
      <c r="H1082" s="457"/>
    </row>
    <row r="1083" spans="1:8">
      <c r="A1083" s="458" t="s">
        <v>434</v>
      </c>
      <c r="B1083" s="467"/>
      <c r="C1083" s="468"/>
      <c r="D1083" s="459" t="s">
        <v>268</v>
      </c>
      <c r="E1083" s="1009">
        <f>19141*1.19</f>
        <v>22777.789999999997</v>
      </c>
      <c r="F1083" s="440">
        <v>0.2</v>
      </c>
      <c r="G1083" s="432">
        <f>E1083*F1083</f>
        <v>4555.558</v>
      </c>
      <c r="H1083" s="460"/>
    </row>
    <row r="1084" spans="1:8">
      <c r="A1084" s="469" t="s">
        <v>435</v>
      </c>
      <c r="B1084" s="467"/>
      <c r="C1084" s="468"/>
      <c r="D1084" s="459" t="s">
        <v>271</v>
      </c>
      <c r="E1084" s="1009">
        <f>38685*1.19/3</f>
        <v>15345.050000000001</v>
      </c>
      <c r="F1084" s="440">
        <v>1.05</v>
      </c>
      <c r="G1084" s="432">
        <f>E1084*F1084</f>
        <v>16112.302500000002</v>
      </c>
      <c r="H1084" s="460"/>
    </row>
    <row r="1085" spans="1:8" ht="15" customHeight="1">
      <c r="A1085" s="469" t="s">
        <v>436</v>
      </c>
      <c r="B1085" s="467"/>
      <c r="C1085" s="471"/>
      <c r="D1085" s="459" t="s">
        <v>268</v>
      </c>
      <c r="E1085" s="1009">
        <f>5297*1.19</f>
        <v>6303.4299999999994</v>
      </c>
      <c r="F1085" s="431">
        <v>0.2</v>
      </c>
      <c r="G1085" s="1396">
        <f>E1085*F1085</f>
        <v>1260.6859999999999</v>
      </c>
      <c r="H1085" s="460"/>
    </row>
    <row r="1086" spans="1:8">
      <c r="A1086" s="469"/>
      <c r="B1086" s="467"/>
      <c r="C1086" s="468"/>
      <c r="D1086" s="459"/>
      <c r="E1086" s="430"/>
      <c r="F1086" s="431"/>
      <c r="G1086" s="1397"/>
      <c r="H1086" s="460"/>
    </row>
    <row r="1087" spans="1:8">
      <c r="A1087" s="469"/>
      <c r="B1087" s="467"/>
      <c r="C1087" s="468"/>
      <c r="D1087" s="459"/>
      <c r="E1087" s="430"/>
      <c r="F1087" s="431"/>
      <c r="G1087" s="432"/>
      <c r="H1087" s="460"/>
    </row>
    <row r="1088" spans="1:8" ht="15.75" thickBot="1">
      <c r="A1088" s="472"/>
      <c r="B1088" s="473"/>
      <c r="C1088" s="474"/>
      <c r="D1088" s="464"/>
      <c r="E1088" s="433"/>
      <c r="F1088" s="434"/>
      <c r="G1088" s="435"/>
      <c r="H1088" s="465"/>
    </row>
    <row r="1089" spans="1:8" ht="15.75" thickBot="1">
      <c r="A1089" s="436"/>
      <c r="B1089" s="436"/>
      <c r="C1089" s="436"/>
      <c r="D1089" s="436"/>
      <c r="E1089" s="436"/>
      <c r="F1089" s="436"/>
      <c r="G1089" s="437" t="s">
        <v>86</v>
      </c>
      <c r="H1089" s="466">
        <f>SUM(G1083:G1088)</f>
        <v>21928.546500000004</v>
      </c>
    </row>
    <row r="1090" spans="1:8" ht="15.75" thickBot="1">
      <c r="A1090" s="450" t="s">
        <v>94</v>
      </c>
      <c r="B1090" s="450"/>
      <c r="C1090" s="436"/>
      <c r="D1090" s="436"/>
      <c r="E1090" s="436"/>
      <c r="F1090" s="436"/>
      <c r="G1090" s="436"/>
      <c r="H1090" s="436"/>
    </row>
    <row r="1091" spans="1:8">
      <c r="A1091" s="1345" t="s">
        <v>95</v>
      </c>
      <c r="B1091" s="1346"/>
      <c r="C1091" s="1347"/>
      <c r="D1091" s="438" t="s">
        <v>88</v>
      </c>
      <c r="E1091" s="438" t="s">
        <v>89</v>
      </c>
      <c r="F1091" s="438" t="s">
        <v>90</v>
      </c>
      <c r="G1091" s="439" t="s">
        <v>84</v>
      </c>
      <c r="H1091" s="457"/>
    </row>
    <row r="1092" spans="1:8">
      <c r="A1092" s="458" t="s">
        <v>235</v>
      </c>
      <c r="B1092" s="467"/>
      <c r="C1092" s="468"/>
      <c r="D1092" s="459" t="s">
        <v>271</v>
      </c>
      <c r="E1092" s="430">
        <v>2500</v>
      </c>
      <c r="F1092" s="440">
        <v>1</v>
      </c>
      <c r="G1092" s="432">
        <f>E1092*F1092</f>
        <v>2500</v>
      </c>
      <c r="H1092" s="460"/>
    </row>
    <row r="1093" spans="1:8" ht="15.75" thickBot="1">
      <c r="A1093" s="1342"/>
      <c r="B1093" s="1343"/>
      <c r="C1093" s="1344"/>
      <c r="D1093" s="475"/>
      <c r="E1093" s="433"/>
      <c r="F1093" s="434"/>
      <c r="G1093" s="441"/>
      <c r="H1093" s="460"/>
    </row>
    <row r="1094" spans="1:8" ht="15.75" thickBot="1">
      <c r="A1094" s="436"/>
      <c r="B1094" s="436"/>
      <c r="C1094" s="436"/>
      <c r="D1094" s="436"/>
      <c r="E1094" s="436"/>
      <c r="F1094" s="436"/>
      <c r="G1094" s="437" t="s">
        <v>86</v>
      </c>
      <c r="H1094" s="466">
        <f>SUM(G1092:G1093)</f>
        <v>2500</v>
      </c>
    </row>
    <row r="1095" spans="1:8" ht="15.75" thickBot="1">
      <c r="A1095" s="450" t="s">
        <v>96</v>
      </c>
      <c r="B1095" s="450"/>
      <c r="C1095" s="436"/>
      <c r="D1095" s="436"/>
      <c r="E1095" s="436"/>
      <c r="F1095" s="436"/>
      <c r="G1095" s="436"/>
      <c r="H1095" s="436"/>
    </row>
    <row r="1096" spans="1:8">
      <c r="A1096" s="476" t="s">
        <v>97</v>
      </c>
      <c r="B1096" s="438"/>
      <c r="C1096" s="438" t="s">
        <v>98</v>
      </c>
      <c r="D1096" s="438" t="s">
        <v>99</v>
      </c>
      <c r="E1096" s="442" t="s">
        <v>100</v>
      </c>
      <c r="F1096" s="443" t="s">
        <v>83</v>
      </c>
      <c r="G1096" s="444" t="s">
        <v>84</v>
      </c>
      <c r="H1096" s="477"/>
    </row>
    <row r="1097" spans="1:8">
      <c r="A1097" s="478" t="s">
        <v>101</v>
      </c>
      <c r="B1097" s="467"/>
      <c r="C1097" s="479">
        <f>PERSONAL!$E$32</f>
        <v>87200</v>
      </c>
      <c r="D1097" s="480">
        <f>PERSONAL!$F$31</f>
        <v>1.7431000000000001</v>
      </c>
      <c r="E1097" s="440">
        <f>+D1097*C1097</f>
        <v>151998.32</v>
      </c>
      <c r="F1097" s="440">
        <v>18</v>
      </c>
      <c r="G1097" s="445">
        <f>ROUND(E1097/F1097,0)</f>
        <v>8444</v>
      </c>
      <c r="H1097" s="451"/>
    </row>
    <row r="1098" spans="1:8">
      <c r="A1098" s="478"/>
      <c r="B1098" s="467"/>
      <c r="C1098" s="479"/>
      <c r="D1098" s="480"/>
      <c r="E1098" s="440"/>
      <c r="F1098" s="440"/>
      <c r="G1098" s="445"/>
      <c r="H1098" s="451"/>
    </row>
    <row r="1099" spans="1:8">
      <c r="A1099" s="478"/>
      <c r="B1099" s="468"/>
      <c r="C1099" s="430"/>
      <c r="D1099" s="459"/>
      <c r="E1099" s="430"/>
      <c r="F1099" s="440"/>
      <c r="G1099" s="445"/>
      <c r="H1099" s="451"/>
    </row>
    <row r="1100" spans="1:8">
      <c r="A1100" s="478"/>
      <c r="B1100" s="468"/>
      <c r="C1100" s="430"/>
      <c r="D1100" s="459"/>
      <c r="E1100" s="430"/>
      <c r="F1100" s="440"/>
      <c r="G1100" s="445"/>
      <c r="H1100" s="451"/>
    </row>
    <row r="1101" spans="1:8" ht="15.75" thickBot="1">
      <c r="A1101" s="481"/>
      <c r="B1101" s="474"/>
      <c r="C1101" s="474"/>
      <c r="D1101" s="474"/>
      <c r="E1101" s="474"/>
      <c r="F1101" s="474"/>
      <c r="G1101" s="482"/>
      <c r="H1101" s="482"/>
    </row>
    <row r="1102" spans="1:8" ht="15.75" thickBot="1">
      <c r="A1102" s="436"/>
      <c r="B1102" s="436"/>
      <c r="C1102" s="436"/>
      <c r="D1102" s="436"/>
      <c r="E1102" s="436"/>
      <c r="F1102" s="436"/>
      <c r="G1102" s="437" t="s">
        <v>86</v>
      </c>
      <c r="H1102" s="466">
        <f>SUM(G1097:G1101)</f>
        <v>8444</v>
      </c>
    </row>
    <row r="1103" spans="1:8" ht="15.75" thickBot="1">
      <c r="A1103" s="436"/>
      <c r="B1103" s="436"/>
      <c r="C1103" s="436"/>
      <c r="D1103" s="436"/>
      <c r="E1103" s="436"/>
      <c r="F1103" s="436"/>
      <c r="G1103" s="483"/>
      <c r="H1103" s="436"/>
    </row>
    <row r="1104" spans="1:8" ht="15.75" thickBot="1">
      <c r="A1104" s="436"/>
      <c r="B1104" s="436"/>
      <c r="C1104" s="436"/>
      <c r="D1104" s="436"/>
      <c r="E1104" s="484" t="s">
        <v>102</v>
      </c>
      <c r="F1104" s="485"/>
      <c r="G1104" s="485"/>
      <c r="H1104" s="466">
        <f>H1080+H1089+H1094+H1102</f>
        <v>33872.546500000004</v>
      </c>
    </row>
    <row r="1105" spans="1:10" ht="15.75" thickBot="1">
      <c r="A1105" s="450" t="s">
        <v>103</v>
      </c>
      <c r="B1105" s="450"/>
      <c r="C1105" s="436"/>
      <c r="D1105" s="436"/>
      <c r="E1105" s="436"/>
      <c r="F1105" s="436"/>
      <c r="G1105" s="436"/>
      <c r="H1105" s="436"/>
    </row>
    <row r="1106" spans="1:10">
      <c r="A1106" s="487" t="s">
        <v>80</v>
      </c>
      <c r="B1106" s="488"/>
      <c r="C1106" s="488"/>
      <c r="D1106" s="488"/>
      <c r="E1106" s="489"/>
      <c r="F1106" s="490" t="s">
        <v>104</v>
      </c>
      <c r="G1106" s="491" t="s">
        <v>105</v>
      </c>
      <c r="H1106" s="457"/>
    </row>
    <row r="1107" spans="1:10">
      <c r="A1107" s="469" t="s">
        <v>106</v>
      </c>
      <c r="B1107" s="467"/>
      <c r="C1107" s="467"/>
      <c r="D1107" s="467"/>
      <c r="E1107" s="468"/>
      <c r="F1107" s="492">
        <f>PRESUPUESTO!$E$222</f>
        <v>0.109</v>
      </c>
      <c r="G1107" s="493">
        <f>+F1107*H1104</f>
        <v>3692.1075685000005</v>
      </c>
      <c r="H1107" s="460"/>
    </row>
    <row r="1108" spans="1:10">
      <c r="A1108" s="469" t="s">
        <v>107</v>
      </c>
      <c r="B1108" s="467"/>
      <c r="C1108" s="467"/>
      <c r="D1108" s="467"/>
      <c r="E1108" s="468"/>
      <c r="F1108" s="492">
        <f>PRESUPUESTO!$E$223</f>
        <v>0.05</v>
      </c>
      <c r="G1108" s="493">
        <f>+F1108*H1104</f>
        <v>1693.6273250000004</v>
      </c>
      <c r="H1108" s="460"/>
    </row>
    <row r="1109" spans="1:10" ht="15.75" thickBot="1">
      <c r="A1109" s="472" t="s">
        <v>108</v>
      </c>
      <c r="B1109" s="473"/>
      <c r="C1109" s="473"/>
      <c r="D1109" s="473"/>
      <c r="E1109" s="474"/>
      <c r="F1109" s="494">
        <v>0</v>
      </c>
      <c r="G1109" s="495">
        <f>+F1109*H1104</f>
        <v>0</v>
      </c>
      <c r="H1109" s="465"/>
    </row>
    <row r="1110" spans="1:10" ht="15.75" thickBot="1">
      <c r="A1110" s="436"/>
      <c r="B1110" s="436"/>
      <c r="C1110" s="436"/>
      <c r="D1110" s="436"/>
      <c r="E1110" s="436"/>
      <c r="F1110" s="436"/>
      <c r="G1110" s="437" t="s">
        <v>86</v>
      </c>
      <c r="H1110" s="496">
        <f>SUM(G1107:G1109)</f>
        <v>5385.7348935000009</v>
      </c>
    </row>
    <row r="1111" spans="1:10" ht="15.75" thickBot="1">
      <c r="A1111" s="436"/>
      <c r="B1111" s="436"/>
      <c r="C1111" s="436"/>
      <c r="D1111" s="436"/>
      <c r="E1111" s="436"/>
      <c r="F1111" s="436"/>
      <c r="G1111" s="436"/>
      <c r="H1111" s="436"/>
    </row>
    <row r="1112" spans="1:10" ht="15.75" thickBot="1">
      <c r="A1112" s="446"/>
      <c r="B1112" s="446"/>
      <c r="C1112" s="436"/>
      <c r="D1112" s="484" t="s">
        <v>109</v>
      </c>
      <c r="E1112" s="485"/>
      <c r="F1112" s="485"/>
      <c r="G1112" s="485"/>
      <c r="H1112" s="466">
        <f>ROUND((H1104+H1110),0)</f>
        <v>39258</v>
      </c>
    </row>
    <row r="1113" spans="1:10">
      <c r="A1113" s="446"/>
      <c r="B1113" s="446"/>
      <c r="C1113" s="446"/>
      <c r="D1113" s="446"/>
      <c r="E1113" s="446"/>
      <c r="F1113" s="446"/>
      <c r="G1113" s="446"/>
      <c r="H1113" s="446"/>
    </row>
    <row r="1114" spans="1:10">
      <c r="A1114" s="186" t="s">
        <v>77</v>
      </c>
      <c r="B1114" s="446"/>
      <c r="C1114" s="446"/>
      <c r="D1114" s="446"/>
      <c r="E1114" s="446"/>
      <c r="F1114" s="446"/>
      <c r="G1114" s="446"/>
      <c r="H1114" s="446"/>
    </row>
    <row r="1115" spans="1:10" ht="15.75" thickBot="1">
      <c r="A1115" s="446"/>
      <c r="B1115" s="446"/>
      <c r="C1115" s="446"/>
      <c r="D1115" s="446"/>
      <c r="E1115" s="446"/>
      <c r="F1115" s="446"/>
      <c r="G1115" s="446"/>
      <c r="H1115" s="446"/>
    </row>
    <row r="1116" spans="1:10">
      <c r="A1116" s="1348" t="s">
        <v>213</v>
      </c>
      <c r="B1116" s="1349"/>
      <c r="C1116" s="1350"/>
      <c r="D1116" s="448"/>
      <c r="E1116" s="448"/>
      <c r="F1116" s="448"/>
      <c r="G1116" s="448"/>
      <c r="H1116" s="449"/>
    </row>
    <row r="1117" spans="1:10">
      <c r="A1117" s="1351"/>
      <c r="B1117" s="1352"/>
      <c r="C1117" s="1353"/>
      <c r="D1117" s="436"/>
      <c r="E1117" s="450" t="s">
        <v>78</v>
      </c>
      <c r="F1117" s="436"/>
      <c r="G1117" s="436"/>
      <c r="H1117" s="451"/>
    </row>
    <row r="1118" spans="1:10" ht="15.75" thickBot="1">
      <c r="A1118" s="1354"/>
      <c r="B1118" s="1355"/>
      <c r="C1118" s="1356"/>
      <c r="D1118" s="1360"/>
      <c r="E1118" s="1361"/>
      <c r="F1118" s="1361"/>
      <c r="G1118" s="1361"/>
      <c r="H1118" s="1362"/>
    </row>
    <row r="1119" spans="1:10">
      <c r="A1119" s="455"/>
      <c r="B1119" s="436"/>
      <c r="C1119" s="436"/>
      <c r="D1119" s="436"/>
      <c r="E1119" s="436"/>
      <c r="F1119" s="436"/>
      <c r="G1119" s="436"/>
      <c r="H1119" s="436"/>
    </row>
    <row r="1120" spans="1:10" s="446" customFormat="1" ht="12.75">
      <c r="A1120" s="455" t="s">
        <v>1146</v>
      </c>
      <c r="B1120" s="456" t="str">
        <f>+PRESUPUESTO!$B$70</f>
        <v>INSTALACIONES ELÉCTRICAS</v>
      </c>
      <c r="C1120" s="436"/>
      <c r="E1120" s="456"/>
      <c r="G1120" s="456" t="s">
        <v>1123</v>
      </c>
      <c r="H1120" s="483" t="s">
        <v>1187</v>
      </c>
      <c r="I1120" s="436"/>
      <c r="J1120" s="436"/>
    </row>
    <row r="1121" spans="1:8" s="931" customFormat="1" ht="52.15" customHeight="1">
      <c r="A1121" s="928" t="s">
        <v>1122</v>
      </c>
      <c r="B1121" s="1375" t="str">
        <f>VLOOKUP(H1120,PRESUPUESTO!$A$18:$F$251,2,FALSE)</f>
        <v>Construccion de Caja RS3-003 Norma EPM, Incluye Herraje y Obra Civil.</v>
      </c>
      <c r="C1121" s="1375"/>
      <c r="D1121" s="1375"/>
      <c r="E1121" s="1375"/>
      <c r="F1121" s="1375"/>
      <c r="G1121" s="929" t="s">
        <v>9</v>
      </c>
      <c r="H1121" s="1024" t="str">
        <f>VLOOKUP(H1120,PRESUPUESTO!$A$18:$F$251,3,FALSE)</f>
        <v>un</v>
      </c>
    </row>
    <row r="1122" spans="1:8">
      <c r="A1122" s="456"/>
      <c r="B1122" s="456"/>
      <c r="C1122" s="436"/>
      <c r="D1122" s="456"/>
      <c r="E1122" s="456"/>
      <c r="F1122" s="456"/>
      <c r="G1122" s="456"/>
      <c r="H1122" s="436"/>
    </row>
    <row r="1123" spans="1:8" ht="15.75" thickBot="1">
      <c r="A1123" s="450" t="s">
        <v>79</v>
      </c>
      <c r="B1123" s="450"/>
      <c r="C1123" s="436"/>
      <c r="D1123" s="436"/>
      <c r="E1123" s="436"/>
      <c r="F1123" s="436"/>
      <c r="G1123" s="436"/>
      <c r="H1123" s="436"/>
    </row>
    <row r="1124" spans="1:8">
      <c r="A1124" s="1345" t="s">
        <v>80</v>
      </c>
      <c r="B1124" s="1346"/>
      <c r="C1124" s="1347"/>
      <c r="D1124" s="438" t="s">
        <v>81</v>
      </c>
      <c r="E1124" s="438" t="s">
        <v>82</v>
      </c>
      <c r="F1124" s="438" t="s">
        <v>83</v>
      </c>
      <c r="G1124" s="439" t="s">
        <v>84</v>
      </c>
      <c r="H1124" s="457"/>
    </row>
    <row r="1125" spans="1:8">
      <c r="A1125" s="1357" t="s">
        <v>471</v>
      </c>
      <c r="B1125" s="1358"/>
      <c r="C1125" s="1359"/>
      <c r="D1125" s="459" t="s">
        <v>268</v>
      </c>
      <c r="E1125" s="440">
        <f>+H1150</f>
        <v>197551</v>
      </c>
      <c r="F1125" s="440">
        <v>0.05</v>
      </c>
      <c r="G1125" s="432">
        <f>E1125*F1125</f>
        <v>9877.5500000000011</v>
      </c>
      <c r="H1125" s="460"/>
    </row>
    <row r="1126" spans="1:8">
      <c r="A1126" s="1357"/>
      <c r="B1126" s="1358"/>
      <c r="C1126" s="1359"/>
      <c r="D1126" s="461"/>
      <c r="E1126" s="462"/>
      <c r="F1126" s="497"/>
      <c r="G1126" s="432">
        <f>E1126*F1126</f>
        <v>0</v>
      </c>
      <c r="H1126" s="460"/>
    </row>
    <row r="1127" spans="1:8" ht="15.75" thickBot="1">
      <c r="A1127" s="1342"/>
      <c r="B1127" s="1343"/>
      <c r="C1127" s="1344"/>
      <c r="D1127" s="464"/>
      <c r="E1127" s="433"/>
      <c r="F1127" s="434"/>
      <c r="G1127" s="441">
        <f>E1127*F1127</f>
        <v>0</v>
      </c>
      <c r="H1127" s="465"/>
    </row>
    <row r="1128" spans="1:8" ht="15.75" thickBot="1">
      <c r="A1128" s="436"/>
      <c r="B1128" s="436"/>
      <c r="C1128" s="436"/>
      <c r="D1128" s="436"/>
      <c r="E1128" s="436"/>
      <c r="F1128" s="436"/>
      <c r="G1128" s="437" t="s">
        <v>86</v>
      </c>
      <c r="H1128" s="466">
        <f>SUM(G1125:G1127)</f>
        <v>9877.5500000000011</v>
      </c>
    </row>
    <row r="1129" spans="1:8" ht="15.75" thickBot="1">
      <c r="A1129" s="450" t="s">
        <v>87</v>
      </c>
      <c r="B1129" s="450"/>
      <c r="C1129" s="436"/>
      <c r="D1129" s="436"/>
      <c r="E1129" s="436"/>
      <c r="F1129" s="436"/>
      <c r="G1129" s="436"/>
      <c r="H1129" s="436"/>
    </row>
    <row r="1130" spans="1:8">
      <c r="A1130" s="1345" t="s">
        <v>80</v>
      </c>
      <c r="B1130" s="1346"/>
      <c r="C1130" s="1347"/>
      <c r="D1130" s="438" t="s">
        <v>88</v>
      </c>
      <c r="E1130" s="438" t="s">
        <v>89</v>
      </c>
      <c r="F1130" s="438" t="s">
        <v>90</v>
      </c>
      <c r="G1130" s="439" t="s">
        <v>84</v>
      </c>
      <c r="H1130" s="457"/>
    </row>
    <row r="1131" spans="1:8">
      <c r="A1131" s="458" t="s">
        <v>437</v>
      </c>
      <c r="B1131" s="467"/>
      <c r="C1131" s="468"/>
      <c r="D1131" s="459" t="s">
        <v>268</v>
      </c>
      <c r="E1131" s="430">
        <f>414902*1.19</f>
        <v>493733.38</v>
      </c>
      <c r="F1131" s="440">
        <v>1</v>
      </c>
      <c r="G1131" s="432">
        <f>E1131*F1131</f>
        <v>493733.38</v>
      </c>
      <c r="H1131" s="460"/>
    </row>
    <row r="1132" spans="1:8">
      <c r="A1132" s="469" t="s">
        <v>438</v>
      </c>
      <c r="B1132" s="467"/>
      <c r="C1132" s="468"/>
      <c r="D1132" s="459" t="s">
        <v>268</v>
      </c>
      <c r="E1132" s="470">
        <f>350000*1.15</f>
        <v>402499.99999999994</v>
      </c>
      <c r="F1132" s="440">
        <v>1</v>
      </c>
      <c r="G1132" s="432">
        <f>F1132*E1132</f>
        <v>402499.99999999994</v>
      </c>
      <c r="H1132" s="460"/>
    </row>
    <row r="1133" spans="1:8">
      <c r="A1133" s="469"/>
      <c r="B1133" s="467"/>
      <c r="C1133" s="471"/>
      <c r="D1133" s="459"/>
      <c r="F1133" s="431"/>
      <c r="G1133" s="432">
        <f>SUM(G1130:G1132)*C1133</f>
        <v>0</v>
      </c>
      <c r="H1133" s="460"/>
    </row>
    <row r="1134" spans="1:8">
      <c r="A1134" s="469"/>
      <c r="B1134" s="467"/>
      <c r="C1134" s="468"/>
      <c r="D1134" s="459"/>
      <c r="E1134" s="430"/>
      <c r="F1134" s="431"/>
      <c r="G1134" s="432"/>
      <c r="H1134" s="460"/>
    </row>
    <row r="1135" spans="1:8">
      <c r="A1135" s="469"/>
      <c r="B1135" s="467"/>
      <c r="C1135" s="468"/>
      <c r="D1135" s="459"/>
      <c r="E1135" s="430"/>
      <c r="F1135" s="431"/>
      <c r="G1135" s="432"/>
      <c r="H1135" s="460"/>
    </row>
    <row r="1136" spans="1:8" ht="15.75" thickBot="1">
      <c r="A1136" s="472"/>
      <c r="B1136" s="473"/>
      <c r="C1136" s="474"/>
      <c r="D1136" s="464"/>
      <c r="E1136" s="433"/>
      <c r="F1136" s="434"/>
      <c r="G1136" s="435"/>
      <c r="H1136" s="465"/>
    </row>
    <row r="1137" spans="1:8" ht="15.75" thickBot="1">
      <c r="A1137" s="436"/>
      <c r="B1137" s="436"/>
      <c r="C1137" s="436"/>
      <c r="D1137" s="436"/>
      <c r="E1137" s="436"/>
      <c r="F1137" s="436"/>
      <c r="G1137" s="437" t="s">
        <v>86</v>
      </c>
      <c r="H1137" s="466">
        <f>SUM(G1131:G1136)</f>
        <v>896233.37999999989</v>
      </c>
    </row>
    <row r="1138" spans="1:8" ht="15.75" thickBot="1">
      <c r="A1138" s="450" t="s">
        <v>94</v>
      </c>
      <c r="B1138" s="450"/>
      <c r="C1138" s="436"/>
      <c r="D1138" s="436"/>
      <c r="E1138" s="436"/>
      <c r="F1138" s="436"/>
      <c r="G1138" s="436"/>
      <c r="H1138" s="436"/>
    </row>
    <row r="1139" spans="1:8">
      <c r="A1139" s="1345" t="s">
        <v>95</v>
      </c>
      <c r="B1139" s="1346"/>
      <c r="C1139" s="1347"/>
      <c r="D1139" s="438" t="s">
        <v>88</v>
      </c>
      <c r="E1139" s="438" t="s">
        <v>89</v>
      </c>
      <c r="F1139" s="438" t="s">
        <v>90</v>
      </c>
      <c r="G1139" s="439" t="s">
        <v>84</v>
      </c>
      <c r="H1139" s="457"/>
    </row>
    <row r="1140" spans="1:8">
      <c r="A1140" s="458" t="s">
        <v>235</v>
      </c>
      <c r="B1140" s="467"/>
      <c r="C1140" s="468"/>
      <c r="D1140" s="459" t="s">
        <v>268</v>
      </c>
      <c r="E1140" s="430">
        <v>10500</v>
      </c>
      <c r="F1140" s="440">
        <v>1</v>
      </c>
      <c r="G1140" s="432">
        <f>E1140*F1140</f>
        <v>10500</v>
      </c>
      <c r="H1140" s="460"/>
    </row>
    <row r="1141" spans="1:8" ht="15.75" thickBot="1">
      <c r="A1141" s="1342"/>
      <c r="B1141" s="1343"/>
      <c r="C1141" s="1344"/>
      <c r="D1141" s="475"/>
      <c r="E1141" s="433"/>
      <c r="F1141" s="434"/>
      <c r="G1141" s="441"/>
      <c r="H1141" s="460"/>
    </row>
    <row r="1142" spans="1:8" ht="15.75" thickBot="1">
      <c r="A1142" s="436"/>
      <c r="B1142" s="436"/>
      <c r="C1142" s="436"/>
      <c r="D1142" s="436"/>
      <c r="E1142" s="436"/>
      <c r="F1142" s="436"/>
      <c r="G1142" s="437" t="s">
        <v>86</v>
      </c>
      <c r="H1142" s="466">
        <f>SUM(G1140:G1141)</f>
        <v>10500</v>
      </c>
    </row>
    <row r="1143" spans="1:8" ht="15.75" thickBot="1">
      <c r="A1143" s="450" t="s">
        <v>96</v>
      </c>
      <c r="B1143" s="450"/>
      <c r="C1143" s="436"/>
      <c r="D1143" s="436"/>
      <c r="E1143" s="436"/>
      <c r="F1143" s="436"/>
      <c r="G1143" s="436"/>
      <c r="H1143" s="436"/>
    </row>
    <row r="1144" spans="1:8">
      <c r="A1144" s="476" t="s">
        <v>97</v>
      </c>
      <c r="B1144" s="438"/>
      <c r="C1144" s="438" t="s">
        <v>98</v>
      </c>
      <c r="D1144" s="438" t="s">
        <v>99</v>
      </c>
      <c r="E1144" s="442" t="s">
        <v>100</v>
      </c>
      <c r="F1144" s="443" t="s">
        <v>83</v>
      </c>
      <c r="G1144" s="444" t="s">
        <v>84</v>
      </c>
      <c r="H1144" s="477"/>
    </row>
    <row r="1145" spans="1:8">
      <c r="A1145" s="478" t="s">
        <v>227</v>
      </c>
      <c r="B1145" s="468"/>
      <c r="C1145" s="479">
        <f>PERSONAL!$E$31</f>
        <v>48800</v>
      </c>
      <c r="D1145" s="480">
        <f>PERSONAL!$F$31</f>
        <v>1.7431000000000001</v>
      </c>
      <c r="E1145" s="440">
        <f>+D1145*C1145</f>
        <v>85063.28</v>
      </c>
      <c r="F1145" s="440">
        <v>1.2</v>
      </c>
      <c r="G1145" s="445">
        <f>ROUND(E1145/F1145,0)</f>
        <v>70886</v>
      </c>
      <c r="H1145" s="451"/>
    </row>
    <row r="1146" spans="1:8">
      <c r="A1146" s="478" t="s">
        <v>101</v>
      </c>
      <c r="B1146" s="467"/>
      <c r="C1146" s="479">
        <f>PERSONAL!$E$32</f>
        <v>87200</v>
      </c>
      <c r="D1146" s="480">
        <f>PERSONAL!$F$31</f>
        <v>1.7431000000000001</v>
      </c>
      <c r="E1146" s="440">
        <f>+D1146*C1146</f>
        <v>151998.32</v>
      </c>
      <c r="F1146" s="440">
        <f>+F1145</f>
        <v>1.2</v>
      </c>
      <c r="G1146" s="445">
        <f>ROUND(E1146/F1146,0)</f>
        <v>126665</v>
      </c>
      <c r="H1146" s="451"/>
    </row>
    <row r="1147" spans="1:8">
      <c r="A1147" s="478"/>
      <c r="B1147" s="468"/>
      <c r="C1147" s="430"/>
      <c r="D1147" s="459"/>
      <c r="E1147" s="430"/>
      <c r="F1147" s="440"/>
      <c r="G1147" s="445"/>
      <c r="H1147" s="451"/>
    </row>
    <row r="1148" spans="1:8">
      <c r="A1148" s="478"/>
      <c r="B1148" s="468"/>
      <c r="C1148" s="430"/>
      <c r="D1148" s="459"/>
      <c r="E1148" s="430"/>
      <c r="F1148" s="440"/>
      <c r="G1148" s="445"/>
      <c r="H1148" s="451"/>
    </row>
    <row r="1149" spans="1:8" ht="15.75" thickBot="1">
      <c r="A1149" s="481"/>
      <c r="B1149" s="474"/>
      <c r="C1149" s="474"/>
      <c r="D1149" s="474"/>
      <c r="E1149" s="474"/>
      <c r="F1149" s="474"/>
      <c r="G1149" s="482"/>
      <c r="H1149" s="482"/>
    </row>
    <row r="1150" spans="1:8" ht="15.75" thickBot="1">
      <c r="A1150" s="436"/>
      <c r="B1150" s="436"/>
      <c r="C1150" s="436"/>
      <c r="D1150" s="436"/>
      <c r="E1150" s="436"/>
      <c r="F1150" s="436"/>
      <c r="G1150" s="437" t="s">
        <v>86</v>
      </c>
      <c r="H1150" s="466">
        <f>SUM(G1145:G1149)</f>
        <v>197551</v>
      </c>
    </row>
    <row r="1151" spans="1:8" ht="15.75" thickBot="1">
      <c r="A1151" s="436"/>
      <c r="B1151" s="436"/>
      <c r="C1151" s="436"/>
      <c r="D1151" s="436"/>
      <c r="E1151" s="436"/>
      <c r="F1151" s="436"/>
      <c r="G1151" s="483"/>
      <c r="H1151" s="436"/>
    </row>
    <row r="1152" spans="1:8" ht="15.75" thickBot="1">
      <c r="A1152" s="436"/>
      <c r="B1152" s="436"/>
      <c r="C1152" s="436"/>
      <c r="D1152" s="436"/>
      <c r="E1152" s="484" t="s">
        <v>102</v>
      </c>
      <c r="F1152" s="485"/>
      <c r="G1152" s="485"/>
      <c r="H1152" s="466">
        <f>H1128+H1137+H1142+H1150</f>
        <v>1114161.93</v>
      </c>
    </row>
    <row r="1153" spans="1:10" ht="15.75" thickBot="1">
      <c r="A1153" s="450" t="s">
        <v>103</v>
      </c>
      <c r="B1153" s="450"/>
      <c r="C1153" s="436"/>
      <c r="D1153" s="436"/>
      <c r="E1153" s="436"/>
      <c r="F1153" s="436"/>
      <c r="G1153" s="436"/>
      <c r="H1153" s="436"/>
    </row>
    <row r="1154" spans="1:10">
      <c r="A1154" s="487" t="s">
        <v>80</v>
      </c>
      <c r="B1154" s="488"/>
      <c r="C1154" s="488"/>
      <c r="D1154" s="488"/>
      <c r="E1154" s="489"/>
      <c r="F1154" s="490" t="s">
        <v>104</v>
      </c>
      <c r="G1154" s="491" t="s">
        <v>105</v>
      </c>
      <c r="H1154" s="457"/>
    </row>
    <row r="1155" spans="1:10">
      <c r="A1155" s="469" t="s">
        <v>106</v>
      </c>
      <c r="B1155" s="467"/>
      <c r="C1155" s="467"/>
      <c r="D1155" s="467"/>
      <c r="E1155" s="468"/>
      <c r="F1155" s="492">
        <f>PRESUPUESTO!$E$222</f>
        <v>0.109</v>
      </c>
      <c r="G1155" s="493">
        <f>+F1155*H1152</f>
        <v>121443.65036999999</v>
      </c>
      <c r="H1155" s="460"/>
    </row>
    <row r="1156" spans="1:10">
      <c r="A1156" s="469" t="s">
        <v>107</v>
      </c>
      <c r="B1156" s="467"/>
      <c r="C1156" s="467"/>
      <c r="D1156" s="467"/>
      <c r="E1156" s="468"/>
      <c r="F1156" s="492">
        <f>PRESUPUESTO!$E$223</f>
        <v>0.05</v>
      </c>
      <c r="G1156" s="493">
        <f>+F1156*H1152</f>
        <v>55708.0965</v>
      </c>
      <c r="H1156" s="460"/>
    </row>
    <row r="1157" spans="1:10" ht="15.75" thickBot="1">
      <c r="A1157" s="472" t="s">
        <v>108</v>
      </c>
      <c r="B1157" s="473"/>
      <c r="C1157" s="473"/>
      <c r="D1157" s="473"/>
      <c r="E1157" s="474"/>
      <c r="F1157" s="494">
        <v>0</v>
      </c>
      <c r="G1157" s="495">
        <f>+F1157*H1152</f>
        <v>0</v>
      </c>
      <c r="H1157" s="465"/>
    </row>
    <row r="1158" spans="1:10" ht="15.75" thickBot="1">
      <c r="A1158" s="436"/>
      <c r="B1158" s="436"/>
      <c r="C1158" s="436"/>
      <c r="D1158" s="436"/>
      <c r="E1158" s="436"/>
      <c r="F1158" s="436"/>
      <c r="G1158" s="437" t="s">
        <v>86</v>
      </c>
      <c r="H1158" s="496">
        <f>SUM(G1155:G1157)</f>
        <v>177151.74686999997</v>
      </c>
    </row>
    <row r="1159" spans="1:10" ht="15.75" thickBot="1">
      <c r="A1159" s="436"/>
      <c r="B1159" s="436"/>
      <c r="C1159" s="436"/>
      <c r="D1159" s="436"/>
      <c r="E1159" s="436"/>
      <c r="F1159" s="436"/>
      <c r="G1159" s="436"/>
      <c r="H1159" s="436"/>
    </row>
    <row r="1160" spans="1:10" ht="15.75" thickBot="1">
      <c r="A1160" s="446"/>
      <c r="B1160" s="446"/>
      <c r="C1160" s="436"/>
      <c r="D1160" s="484" t="s">
        <v>109</v>
      </c>
      <c r="E1160" s="485"/>
      <c r="F1160" s="485"/>
      <c r="G1160" s="485"/>
      <c r="H1160" s="466">
        <f>ROUND((H1152+H1158),0)</f>
        <v>1291314</v>
      </c>
    </row>
    <row r="1162" spans="1:10">
      <c r="A1162" s="186" t="s">
        <v>77</v>
      </c>
      <c r="B1162" s="446"/>
      <c r="C1162" s="446"/>
      <c r="D1162" s="446"/>
      <c r="E1162" s="446"/>
      <c r="F1162" s="446"/>
      <c r="G1162" s="446"/>
      <c r="H1162" s="446"/>
    </row>
    <row r="1163" spans="1:10" ht="15.75" thickBot="1">
      <c r="A1163" s="446"/>
      <c r="B1163" s="446"/>
      <c r="C1163" s="446"/>
      <c r="D1163" s="446"/>
      <c r="E1163" s="446"/>
      <c r="F1163" s="446"/>
      <c r="G1163" s="446"/>
      <c r="H1163" s="446"/>
    </row>
    <row r="1164" spans="1:10">
      <c r="A1164" s="1348" t="s">
        <v>213</v>
      </c>
      <c r="B1164" s="1349"/>
      <c r="C1164" s="1350"/>
      <c r="D1164" s="448"/>
      <c r="E1164" s="448"/>
      <c r="F1164" s="448"/>
      <c r="G1164" s="448"/>
      <c r="H1164" s="449"/>
    </row>
    <row r="1165" spans="1:10">
      <c r="A1165" s="1351"/>
      <c r="B1165" s="1352"/>
      <c r="C1165" s="1353"/>
      <c r="D1165" s="436"/>
      <c r="E1165" s="450" t="s">
        <v>78</v>
      </c>
      <c r="F1165" s="436"/>
      <c r="G1165" s="436"/>
      <c r="H1165" s="451"/>
    </row>
    <row r="1166" spans="1:10" ht="15.75" thickBot="1">
      <c r="A1166" s="1354"/>
      <c r="B1166" s="1355"/>
      <c r="C1166" s="1356"/>
      <c r="D1166" s="1360"/>
      <c r="E1166" s="1361"/>
      <c r="F1166" s="1361"/>
      <c r="G1166" s="1361"/>
      <c r="H1166" s="1362"/>
    </row>
    <row r="1167" spans="1:10">
      <c r="A1167" s="455"/>
      <c r="B1167" s="436"/>
      <c r="C1167" s="436"/>
      <c r="D1167" s="436"/>
      <c r="E1167" s="436"/>
      <c r="F1167" s="436"/>
      <c r="G1167" s="436"/>
      <c r="H1167" s="436"/>
    </row>
    <row r="1168" spans="1:10" s="446" customFormat="1" ht="12.75">
      <c r="A1168" s="455" t="s">
        <v>1146</v>
      </c>
      <c r="B1168" s="456" t="str">
        <f>+PRESUPUESTO!$B$70</f>
        <v>INSTALACIONES ELÉCTRICAS</v>
      </c>
      <c r="C1168" s="436"/>
      <c r="E1168" s="456"/>
      <c r="G1168" s="456" t="s">
        <v>1123</v>
      </c>
      <c r="H1168" s="483" t="s">
        <v>1188</v>
      </c>
      <c r="I1168" s="436"/>
      <c r="J1168" s="436"/>
    </row>
    <row r="1169" spans="1:9" s="931" customFormat="1" ht="52.15" customHeight="1">
      <c r="A1169" s="928" t="s">
        <v>1122</v>
      </c>
      <c r="B1169" s="1375" t="str">
        <f>VLOOKUP(H1168,PRESUPUESTO!$A$18:$F$251,2,FALSE)</f>
        <v>Suministro, Transporte e Instalacion de Gabinete Electrico Tipo Intemperie  CASETAS, Incluye:
Breaker Industrial Totalizador 2x75A, Icc 10KA (1).
Minibreaker 2x40A, Icc 10KA (8)
MEDIDOR DE ENERGÍA  1F, 3H,  5(60)A, 240/120V, ENERGIA ACTIVA (8)</v>
      </c>
      <c r="C1169" s="1375"/>
      <c r="D1169" s="1375"/>
      <c r="E1169" s="1375"/>
      <c r="F1169" s="1375"/>
      <c r="G1169" s="929" t="s">
        <v>9</v>
      </c>
      <c r="H1169" s="1024" t="str">
        <f>VLOOKUP(H1168,PRESUPUESTO!$A$18:$F$251,3,FALSE)</f>
        <v>un</v>
      </c>
    </row>
    <row r="1170" spans="1:9">
      <c r="A1170" s="456"/>
      <c r="B1170" s="456"/>
      <c r="C1170" s="436"/>
      <c r="D1170" s="456"/>
      <c r="E1170" s="456"/>
      <c r="F1170" s="456"/>
      <c r="G1170" s="456"/>
      <c r="H1170" s="436"/>
    </row>
    <row r="1171" spans="1:9" ht="15.75" thickBot="1">
      <c r="A1171" s="450" t="s">
        <v>79</v>
      </c>
      <c r="B1171" s="450"/>
      <c r="C1171" s="436"/>
      <c r="D1171" s="436"/>
      <c r="E1171" s="436"/>
      <c r="F1171" s="436"/>
      <c r="G1171" s="436"/>
      <c r="H1171" s="436"/>
    </row>
    <row r="1172" spans="1:9">
      <c r="A1172" s="1345" t="s">
        <v>80</v>
      </c>
      <c r="B1172" s="1346"/>
      <c r="C1172" s="1347"/>
      <c r="D1172" s="438" t="s">
        <v>81</v>
      </c>
      <c r="E1172" s="438" t="s">
        <v>82</v>
      </c>
      <c r="F1172" s="438" t="s">
        <v>83</v>
      </c>
      <c r="G1172" s="439" t="s">
        <v>84</v>
      </c>
      <c r="H1172" s="457"/>
    </row>
    <row r="1173" spans="1:9">
      <c r="A1173" s="1357" t="s">
        <v>471</v>
      </c>
      <c r="B1173" s="1358"/>
      <c r="C1173" s="1359"/>
      <c r="D1173" s="459" t="s">
        <v>268</v>
      </c>
      <c r="E1173" s="440">
        <f>+H1197</f>
        <v>458239</v>
      </c>
      <c r="F1173" s="440">
        <v>0.05</v>
      </c>
      <c r="G1173" s="432">
        <f>E1173*F1173</f>
        <v>22911.95</v>
      </c>
      <c r="H1173" s="460"/>
    </row>
    <row r="1174" spans="1:9" s="446" customFormat="1" ht="12.75">
      <c r="A1174" s="1376" t="s">
        <v>694</v>
      </c>
      <c r="B1174" s="1377"/>
      <c r="C1174" s="1378"/>
      <c r="D1174" s="777" t="s">
        <v>1084</v>
      </c>
      <c r="E1174" s="1012">
        <f>20750*1.19</f>
        <v>24692.5</v>
      </c>
      <c r="F1174" s="779">
        <f>+F1192</f>
        <v>0.76078206612924648</v>
      </c>
      <c r="G1174" s="780">
        <f>+E1174/F1174</f>
        <v>32456.732485338423</v>
      </c>
      <c r="H1174" s="776"/>
    </row>
    <row r="1175" spans="1:9" ht="15.75" thickBot="1">
      <c r="A1175" s="1342"/>
      <c r="B1175" s="1343"/>
      <c r="C1175" s="1344"/>
      <c r="D1175" s="464"/>
      <c r="E1175" s="433"/>
      <c r="F1175" s="434"/>
      <c r="G1175" s="441">
        <f>E1175*F1175</f>
        <v>0</v>
      </c>
      <c r="H1175" s="465"/>
    </row>
    <row r="1176" spans="1:9" ht="15.75" thickBot="1">
      <c r="A1176" s="436"/>
      <c r="B1176" s="436"/>
      <c r="C1176" s="436"/>
      <c r="D1176" s="436"/>
      <c r="E1176" s="436"/>
      <c r="F1176" s="436"/>
      <c r="G1176" s="437" t="s">
        <v>86</v>
      </c>
      <c r="H1176" s="466">
        <f>SUM(G1173:G1175)</f>
        <v>55368.682485338424</v>
      </c>
    </row>
    <row r="1177" spans="1:9" ht="15.75" thickBot="1">
      <c r="A1177" s="450" t="s">
        <v>87</v>
      </c>
      <c r="B1177" s="450"/>
      <c r="C1177" s="436"/>
      <c r="D1177" s="436"/>
      <c r="E1177" s="436"/>
      <c r="F1177" s="436"/>
      <c r="G1177" s="436"/>
      <c r="H1177" s="436"/>
    </row>
    <row r="1178" spans="1:9">
      <c r="A1178" s="1345" t="s">
        <v>80</v>
      </c>
      <c r="B1178" s="1346"/>
      <c r="C1178" s="1347"/>
      <c r="D1178" s="438" t="s">
        <v>88</v>
      </c>
      <c r="E1178" s="438" t="s">
        <v>89</v>
      </c>
      <c r="F1178" s="438" t="s">
        <v>90</v>
      </c>
      <c r="G1178" s="439" t="s">
        <v>84</v>
      </c>
      <c r="H1178" s="457"/>
    </row>
    <row r="1179" spans="1:9">
      <c r="A1179" s="458" t="s">
        <v>490</v>
      </c>
      <c r="B1179" s="467"/>
      <c r="C1179" s="468"/>
      <c r="D1179" s="1004" t="s">
        <v>268</v>
      </c>
      <c r="E1179" s="1015">
        <f>3398914</f>
        <v>3398914</v>
      </c>
      <c r="F1179" s="1003">
        <v>1</v>
      </c>
      <c r="G1179" s="1003">
        <f>E1179*F1179</f>
        <v>3398914</v>
      </c>
      <c r="H1179" s="451"/>
      <c r="I1179" s="672"/>
    </row>
    <row r="1180" spans="1:9">
      <c r="A1180" s="469" t="s">
        <v>491</v>
      </c>
      <c r="B1180" s="467"/>
      <c r="C1180" s="468"/>
      <c r="D1180" s="1004" t="s">
        <v>268</v>
      </c>
      <c r="E1180" s="1010">
        <v>240000</v>
      </c>
      <c r="F1180" s="1003">
        <v>1</v>
      </c>
      <c r="G1180" s="1003">
        <f>E1180*F1180</f>
        <v>240000</v>
      </c>
      <c r="H1180" s="451"/>
    </row>
    <row r="1181" spans="1:9">
      <c r="A1181" s="469" t="s">
        <v>492</v>
      </c>
      <c r="B1181" s="467"/>
      <c r="C1181" s="471"/>
      <c r="D1181" s="995" t="s">
        <v>268</v>
      </c>
      <c r="E1181" s="1010">
        <f>96100*1.19</f>
        <v>114359</v>
      </c>
      <c r="F1181" s="1003">
        <v>8</v>
      </c>
      <c r="G1181" s="1001">
        <f t="shared" ref="G1181:G1182" si="5">E1181*F1181</f>
        <v>914872</v>
      </c>
      <c r="H1181" s="451"/>
    </row>
    <row r="1182" spans="1:9">
      <c r="A1182" s="469" t="s">
        <v>493</v>
      </c>
      <c r="B1182" s="467"/>
      <c r="C1182" s="468"/>
      <c r="D1182" s="995" t="s">
        <v>268</v>
      </c>
      <c r="E1182" s="1010">
        <f>105000*1.19</f>
        <v>124950</v>
      </c>
      <c r="F1182" s="1003">
        <v>8</v>
      </c>
      <c r="G1182" s="1001">
        <f t="shared" si="5"/>
        <v>999600</v>
      </c>
      <c r="H1182" s="451"/>
    </row>
    <row r="1183" spans="1:9" ht="15.75" thickBot="1">
      <c r="A1183" s="472"/>
      <c r="B1183" s="473"/>
      <c r="C1183" s="474"/>
      <c r="D1183" s="464"/>
      <c r="E1183" s="433"/>
      <c r="F1183" s="434"/>
      <c r="G1183" s="435"/>
      <c r="H1183" s="465"/>
    </row>
    <row r="1184" spans="1:9" ht="15.75" thickBot="1">
      <c r="A1184" s="436"/>
      <c r="B1184" s="436"/>
      <c r="C1184" s="436"/>
      <c r="D1184" s="436"/>
      <c r="E1184" s="436"/>
      <c r="F1184" s="436"/>
      <c r="G1184" s="437" t="s">
        <v>86</v>
      </c>
      <c r="H1184" s="466">
        <f>SUM(G1179:G1183)</f>
        <v>5553386</v>
      </c>
    </row>
    <row r="1185" spans="1:10" ht="15.75" thickBot="1">
      <c r="A1185" s="450" t="s">
        <v>94</v>
      </c>
      <c r="B1185" s="450"/>
      <c r="C1185" s="436"/>
      <c r="D1185" s="436"/>
      <c r="E1185" s="436"/>
      <c r="F1185" s="436"/>
      <c r="G1185" s="436"/>
      <c r="H1185" s="436"/>
    </row>
    <row r="1186" spans="1:10">
      <c r="A1186" s="1345" t="s">
        <v>95</v>
      </c>
      <c r="B1186" s="1346"/>
      <c r="C1186" s="1347"/>
      <c r="D1186" s="438" t="s">
        <v>88</v>
      </c>
      <c r="E1186" s="438" t="s">
        <v>89</v>
      </c>
      <c r="F1186" s="438" t="s">
        <v>90</v>
      </c>
      <c r="G1186" s="439" t="s">
        <v>84</v>
      </c>
      <c r="H1186" s="457"/>
    </row>
    <row r="1187" spans="1:10">
      <c r="A1187" s="458" t="s">
        <v>673</v>
      </c>
      <c r="B1187" s="467"/>
      <c r="C1187" s="468"/>
      <c r="D1187" s="459" t="s">
        <v>668</v>
      </c>
      <c r="E1187" s="430">
        <v>165000</v>
      </c>
      <c r="F1187" s="440">
        <f>1/15</f>
        <v>6.6666666666666666E-2</v>
      </c>
      <c r="G1187" s="432">
        <f>E1187*F1187</f>
        <v>11000</v>
      </c>
      <c r="H1187" s="460"/>
    </row>
    <row r="1188" spans="1:10" ht="15.75" thickBot="1">
      <c r="A1188" s="458" t="s">
        <v>235</v>
      </c>
      <c r="B1188" s="467"/>
      <c r="C1188" s="468"/>
      <c r="D1188" s="459" t="s">
        <v>173</v>
      </c>
      <c r="E1188" s="430">
        <v>21500</v>
      </c>
      <c r="F1188" s="440">
        <f>1/3</f>
        <v>0.33333333333333331</v>
      </c>
      <c r="G1188" s="432">
        <f>E1188*F1188</f>
        <v>7166.6666666666661</v>
      </c>
      <c r="H1188" s="460"/>
    </row>
    <row r="1189" spans="1:10" ht="15.75" thickBot="1">
      <c r="A1189" s="436"/>
      <c r="B1189" s="436"/>
      <c r="C1189" s="436"/>
      <c r="D1189" s="436"/>
      <c r="E1189" s="436"/>
      <c r="F1189" s="436"/>
      <c r="G1189" s="437" t="s">
        <v>86</v>
      </c>
      <c r="H1189" s="466">
        <f>SUM(G1187:G1188)</f>
        <v>18166.666666666664</v>
      </c>
    </row>
    <row r="1190" spans="1:10" ht="15.75" thickBot="1">
      <c r="A1190" s="450" t="s">
        <v>96</v>
      </c>
      <c r="B1190" s="450"/>
      <c r="C1190" s="436"/>
      <c r="D1190" s="436"/>
      <c r="E1190" s="436"/>
      <c r="F1190" s="436"/>
      <c r="G1190" s="436"/>
      <c r="H1190" s="436"/>
    </row>
    <row r="1191" spans="1:10">
      <c r="A1191" s="476" t="s">
        <v>97</v>
      </c>
      <c r="B1191" s="438"/>
      <c r="C1191" s="438" t="s">
        <v>98</v>
      </c>
      <c r="D1191" s="438" t="s">
        <v>99</v>
      </c>
      <c r="E1191" s="442" t="s">
        <v>100</v>
      </c>
      <c r="F1191" s="443" t="s">
        <v>83</v>
      </c>
      <c r="G1191" s="444" t="s">
        <v>84</v>
      </c>
      <c r="H1191" s="477"/>
    </row>
    <row r="1192" spans="1:10">
      <c r="A1192" s="478" t="s">
        <v>1109</v>
      </c>
      <c r="B1192" s="498">
        <v>2</v>
      </c>
      <c r="C1192" s="479">
        <f>+PERSONAL!$E$34</f>
        <v>100000</v>
      </c>
      <c r="D1192" s="480">
        <f>PERSONAL!$F$31</f>
        <v>1.7431000000000001</v>
      </c>
      <c r="E1192" s="440">
        <f>+D1192*C1192*B1192</f>
        <v>348620</v>
      </c>
      <c r="F1192" s="440">
        <v>0.76078206612924648</v>
      </c>
      <c r="G1192" s="445">
        <f>ROUND(E1192/F1192,0)</f>
        <v>458239</v>
      </c>
      <c r="H1192" s="451"/>
    </row>
    <row r="1193" spans="1:10">
      <c r="A1193" s="478"/>
      <c r="B1193" s="467"/>
      <c r="C1193" s="479"/>
      <c r="D1193" s="480"/>
      <c r="E1193" s="440"/>
      <c r="F1193" s="440"/>
      <c r="G1193" s="445"/>
      <c r="H1193" s="451"/>
    </row>
    <row r="1194" spans="1:10">
      <c r="A1194" s="478"/>
      <c r="B1194" s="468"/>
      <c r="C1194" s="430"/>
      <c r="D1194" s="459"/>
      <c r="E1194" s="430"/>
      <c r="F1194" s="440"/>
      <c r="G1194" s="445"/>
      <c r="H1194" s="451"/>
    </row>
    <row r="1195" spans="1:10">
      <c r="A1195" s="478"/>
      <c r="B1195" s="468"/>
      <c r="C1195" s="430"/>
      <c r="D1195" s="459"/>
      <c r="E1195" s="430"/>
      <c r="F1195" s="440"/>
      <c r="G1195" s="445"/>
      <c r="H1195" s="451"/>
    </row>
    <row r="1196" spans="1:10" ht="15.75" thickBot="1">
      <c r="A1196" s="481"/>
      <c r="B1196" s="474"/>
      <c r="C1196" s="474"/>
      <c r="D1196" s="474"/>
      <c r="E1196" s="474"/>
      <c r="F1196" s="474"/>
      <c r="G1196" s="482"/>
      <c r="H1196" s="482"/>
    </row>
    <row r="1197" spans="1:10" ht="15.75" thickBot="1">
      <c r="A1197" s="436"/>
      <c r="B1197" s="436"/>
      <c r="C1197" s="436"/>
      <c r="D1197" s="436"/>
      <c r="E1197" s="436"/>
      <c r="F1197" s="436"/>
      <c r="G1197" s="437" t="s">
        <v>86</v>
      </c>
      <c r="H1197" s="466">
        <f>SUM(G1192:G1196)</f>
        <v>458239</v>
      </c>
    </row>
    <row r="1198" spans="1:10" ht="15.75" thickBot="1">
      <c r="A1198" s="436"/>
      <c r="B1198" s="436"/>
      <c r="C1198" s="436"/>
      <c r="D1198" s="436"/>
      <c r="E1198" s="436"/>
      <c r="F1198" s="436"/>
      <c r="G1198" s="483"/>
      <c r="H1198" s="436"/>
    </row>
    <row r="1199" spans="1:10" ht="15.75" thickBot="1">
      <c r="A1199" s="436"/>
      <c r="B1199" s="436"/>
      <c r="C1199" s="436"/>
      <c r="D1199" s="436"/>
      <c r="E1199" s="484" t="s">
        <v>102</v>
      </c>
      <c r="F1199" s="485"/>
      <c r="G1199" s="485"/>
      <c r="H1199" s="466">
        <f>H1176+H1184+H1189+H1197</f>
        <v>6085160.3491520053</v>
      </c>
      <c r="J1199" s="486"/>
    </row>
    <row r="1200" spans="1:10" ht="15.75" thickBot="1">
      <c r="A1200" s="450" t="s">
        <v>103</v>
      </c>
      <c r="B1200" s="450"/>
      <c r="C1200" s="436"/>
      <c r="D1200" s="436"/>
      <c r="E1200" s="436"/>
      <c r="F1200" s="436"/>
      <c r="G1200" s="436"/>
      <c r="H1200" s="436"/>
    </row>
    <row r="1201" spans="1:10">
      <c r="A1201" s="487" t="s">
        <v>80</v>
      </c>
      <c r="B1201" s="488"/>
      <c r="C1201" s="488"/>
      <c r="D1201" s="488"/>
      <c r="E1201" s="489"/>
      <c r="F1201" s="490" t="s">
        <v>104</v>
      </c>
      <c r="G1201" s="491" t="s">
        <v>105</v>
      </c>
      <c r="H1201" s="457"/>
    </row>
    <row r="1202" spans="1:10">
      <c r="A1202" s="469" t="s">
        <v>106</v>
      </c>
      <c r="B1202" s="467"/>
      <c r="C1202" s="467"/>
      <c r="D1202" s="467"/>
      <c r="E1202" s="468"/>
      <c r="F1202" s="492">
        <f>PRESUPUESTO!$E$222</f>
        <v>0.109</v>
      </c>
      <c r="G1202" s="493">
        <f>+F1202*H1199</f>
        <v>663282.47805756854</v>
      </c>
      <c r="H1202" s="460"/>
    </row>
    <row r="1203" spans="1:10">
      <c r="A1203" s="469" t="s">
        <v>107</v>
      </c>
      <c r="B1203" s="467"/>
      <c r="C1203" s="467"/>
      <c r="D1203" s="467"/>
      <c r="E1203" s="468"/>
      <c r="F1203" s="492">
        <f>PRESUPUESTO!$E$223</f>
        <v>0.05</v>
      </c>
      <c r="G1203" s="493">
        <f>+F1203*H1199</f>
        <v>304258.01745760028</v>
      </c>
      <c r="H1203" s="460"/>
    </row>
    <row r="1204" spans="1:10" ht="15.75" thickBot="1">
      <c r="A1204" s="472" t="s">
        <v>108</v>
      </c>
      <c r="B1204" s="473"/>
      <c r="C1204" s="473"/>
      <c r="D1204" s="473"/>
      <c r="E1204" s="474"/>
      <c r="F1204" s="494">
        <v>0</v>
      </c>
      <c r="G1204" s="495">
        <f>+F1204*H1199</f>
        <v>0</v>
      </c>
      <c r="H1204" s="465"/>
    </row>
    <row r="1205" spans="1:10" ht="15.75" thickBot="1">
      <c r="A1205" s="436"/>
      <c r="B1205" s="436"/>
      <c r="C1205" s="436"/>
      <c r="D1205" s="436"/>
      <c r="E1205" s="436"/>
      <c r="F1205" s="436"/>
      <c r="G1205" s="437" t="s">
        <v>86</v>
      </c>
      <c r="H1205" s="496">
        <f>SUM(G1202:G1204)</f>
        <v>967540.49551516888</v>
      </c>
    </row>
    <row r="1206" spans="1:10" ht="15.75" thickBot="1">
      <c r="A1206" s="436"/>
      <c r="B1206" s="436"/>
      <c r="C1206" s="436"/>
      <c r="D1206" s="436"/>
      <c r="E1206" s="436"/>
      <c r="F1206" s="436"/>
      <c r="G1206" s="436"/>
      <c r="H1206" s="436"/>
    </row>
    <row r="1207" spans="1:10" ht="15.75" thickBot="1">
      <c r="A1207" s="446"/>
      <c r="B1207" s="446"/>
      <c r="C1207" s="436"/>
      <c r="D1207" s="484" t="s">
        <v>109</v>
      </c>
      <c r="E1207" s="485"/>
      <c r="F1207" s="485"/>
      <c r="G1207" s="485"/>
      <c r="H1207" s="466">
        <f>ROUND((H1199+H1205),0)</f>
        <v>7052701</v>
      </c>
    </row>
    <row r="1208" spans="1:10">
      <c r="A1208" s="446"/>
      <c r="B1208" s="446"/>
      <c r="C1208" s="446"/>
      <c r="D1208" s="446"/>
      <c r="E1208" s="446"/>
      <c r="F1208" s="446"/>
      <c r="G1208" s="446"/>
      <c r="H1208" s="446"/>
    </row>
    <row r="1209" spans="1:10">
      <c r="A1209" s="186" t="s">
        <v>77</v>
      </c>
      <c r="B1209" s="446"/>
      <c r="C1209" s="446"/>
      <c r="D1209" s="446"/>
      <c r="E1209" s="446"/>
      <c r="F1209" s="446"/>
      <c r="G1209" s="446"/>
      <c r="H1209" s="446"/>
    </row>
    <row r="1210" spans="1:10" ht="15.75" thickBot="1">
      <c r="A1210" s="446"/>
      <c r="B1210" s="446"/>
      <c r="C1210" s="446"/>
      <c r="D1210" s="446"/>
      <c r="E1210" s="446"/>
      <c r="F1210" s="446"/>
      <c r="G1210" s="446"/>
      <c r="H1210" s="446"/>
    </row>
    <row r="1211" spans="1:10">
      <c r="A1211" s="1348" t="s">
        <v>213</v>
      </c>
      <c r="B1211" s="1349"/>
      <c r="C1211" s="1350"/>
      <c r="D1211" s="448"/>
      <c r="E1211" s="448"/>
      <c r="F1211" s="448"/>
      <c r="G1211" s="448"/>
      <c r="H1211" s="449"/>
    </row>
    <row r="1212" spans="1:10">
      <c r="A1212" s="1351"/>
      <c r="B1212" s="1352"/>
      <c r="C1212" s="1353"/>
      <c r="D1212" s="436"/>
      <c r="E1212" s="450" t="s">
        <v>78</v>
      </c>
      <c r="F1212" s="436"/>
      <c r="G1212" s="436"/>
      <c r="H1212" s="451"/>
    </row>
    <row r="1213" spans="1:10" ht="15.75" thickBot="1">
      <c r="A1213" s="1354"/>
      <c r="B1213" s="1355"/>
      <c r="C1213" s="1356"/>
      <c r="D1213" s="1360"/>
      <c r="E1213" s="1361"/>
      <c r="F1213" s="1361"/>
      <c r="G1213" s="1361"/>
      <c r="H1213" s="1362"/>
    </row>
    <row r="1214" spans="1:10">
      <c r="A1214" s="455"/>
      <c r="B1214" s="436"/>
      <c r="C1214" s="436"/>
      <c r="D1214" s="436"/>
      <c r="E1214" s="436"/>
      <c r="F1214" s="436"/>
      <c r="G1214" s="436"/>
      <c r="H1214" s="436"/>
    </row>
    <row r="1215" spans="1:10" s="446" customFormat="1" ht="12.75">
      <c r="A1215" s="455" t="s">
        <v>1146</v>
      </c>
      <c r="B1215" s="456" t="str">
        <f>+PRESUPUESTO!$B$70</f>
        <v>INSTALACIONES ELÉCTRICAS</v>
      </c>
      <c r="C1215" s="436"/>
      <c r="E1215" s="456"/>
      <c r="G1215" s="456" t="s">
        <v>1123</v>
      </c>
      <c r="H1215" s="483" t="s">
        <v>1189</v>
      </c>
      <c r="I1215" s="436"/>
      <c r="J1215" s="436"/>
    </row>
    <row r="1216" spans="1:10" s="931" customFormat="1" ht="52.15" customHeight="1">
      <c r="A1216" s="928" t="s">
        <v>1122</v>
      </c>
      <c r="B1216" s="1375" t="str">
        <f>VLOOKUP(H1215,PRESUPUESTO!$A$18:$F$251,2,FALSE)</f>
        <v>Suministro, Transporte e Instalacion de Gabinete Electrico Tipo Intemperie  CASETAS, Incluye:
Breaker Industrial Totalizador 2x75A, Icc 10KA (1).
Minibreaker 2x40A, Icc 10KA (10)
MEDIDOR DE ENERGÍA  1F, 3H,  5(60)A, 240/120V, ENERGIA ACTIVA (10)</v>
      </c>
      <c r="C1216" s="1375"/>
      <c r="D1216" s="1375"/>
      <c r="E1216" s="1375"/>
      <c r="F1216" s="1375"/>
      <c r="G1216" s="929" t="s">
        <v>9</v>
      </c>
      <c r="H1216" s="1024" t="str">
        <f>VLOOKUP(H1215,PRESUPUESTO!$A$18:$F$251,3,FALSE)</f>
        <v>un</v>
      </c>
    </row>
    <row r="1217" spans="1:9">
      <c r="A1217" s="456"/>
      <c r="B1217" s="456"/>
      <c r="C1217" s="436"/>
      <c r="D1217" s="456"/>
      <c r="E1217" s="456"/>
      <c r="F1217" s="456"/>
      <c r="G1217" s="456"/>
      <c r="H1217" s="436"/>
    </row>
    <row r="1218" spans="1:9" ht="15.75" thickBot="1">
      <c r="A1218" s="450" t="s">
        <v>79</v>
      </c>
      <c r="B1218" s="450"/>
      <c r="C1218" s="436"/>
      <c r="D1218" s="436"/>
      <c r="E1218" s="436"/>
      <c r="F1218" s="436"/>
      <c r="G1218" s="436"/>
      <c r="H1218" s="436"/>
    </row>
    <row r="1219" spans="1:9">
      <c r="A1219" s="1345" t="s">
        <v>80</v>
      </c>
      <c r="B1219" s="1346"/>
      <c r="C1219" s="1347"/>
      <c r="D1219" s="438" t="s">
        <v>81</v>
      </c>
      <c r="E1219" s="438" t="s">
        <v>82</v>
      </c>
      <c r="F1219" s="438" t="s">
        <v>83</v>
      </c>
      <c r="G1219" s="439" t="s">
        <v>84</v>
      </c>
      <c r="H1219" s="457"/>
    </row>
    <row r="1220" spans="1:9">
      <c r="A1220" s="1357" t="s">
        <v>471</v>
      </c>
      <c r="B1220" s="1358"/>
      <c r="C1220" s="1359"/>
      <c r="D1220" s="459" t="s">
        <v>268</v>
      </c>
      <c r="E1220" s="440">
        <f>+H1244</f>
        <v>536338</v>
      </c>
      <c r="F1220" s="440">
        <v>0.05</v>
      </c>
      <c r="G1220" s="432">
        <f>E1220*F1220</f>
        <v>26816.9</v>
      </c>
      <c r="H1220" s="460"/>
    </row>
    <row r="1221" spans="1:9" s="446" customFormat="1" ht="12.75">
      <c r="A1221" s="1376" t="s">
        <v>694</v>
      </c>
      <c r="B1221" s="1377"/>
      <c r="C1221" s="1378"/>
      <c r="D1221" s="777" t="s">
        <v>1084</v>
      </c>
      <c r="E1221" s="1012">
        <f>20750*1.19</f>
        <v>24692.5</v>
      </c>
      <c r="F1221" s="779">
        <f>+F1239</f>
        <v>0.65</v>
      </c>
      <c r="G1221" s="780">
        <f>+E1221/F1221</f>
        <v>37988.461538461539</v>
      </c>
      <c r="H1221" s="776"/>
    </row>
    <row r="1222" spans="1:9" ht="15.75" thickBot="1">
      <c r="A1222" s="1342"/>
      <c r="B1222" s="1343"/>
      <c r="C1222" s="1344"/>
      <c r="D1222" s="464"/>
      <c r="E1222" s="433"/>
      <c r="F1222" s="434"/>
      <c r="G1222" s="441">
        <f>E1222*F1222</f>
        <v>0</v>
      </c>
      <c r="H1222" s="465"/>
    </row>
    <row r="1223" spans="1:9" ht="15.75" thickBot="1">
      <c r="A1223" s="436"/>
      <c r="B1223" s="436"/>
      <c r="C1223" s="436"/>
      <c r="D1223" s="436"/>
      <c r="E1223" s="436"/>
      <c r="F1223" s="436"/>
      <c r="G1223" s="437" t="s">
        <v>86</v>
      </c>
      <c r="H1223" s="466">
        <f>SUM(G1220:G1222)</f>
        <v>64805.36153846154</v>
      </c>
    </row>
    <row r="1224" spans="1:9" ht="15.75" thickBot="1">
      <c r="A1224" s="450" t="s">
        <v>87</v>
      </c>
      <c r="B1224" s="450"/>
      <c r="C1224" s="436"/>
      <c r="D1224" s="436"/>
      <c r="E1224" s="436"/>
      <c r="F1224" s="436"/>
      <c r="G1224" s="436"/>
      <c r="H1224" s="436"/>
    </row>
    <row r="1225" spans="1:9">
      <c r="A1225" s="1345" t="s">
        <v>80</v>
      </c>
      <c r="B1225" s="1346"/>
      <c r="C1225" s="1347"/>
      <c r="D1225" s="438" t="s">
        <v>88</v>
      </c>
      <c r="E1225" s="438" t="s">
        <v>89</v>
      </c>
      <c r="F1225" s="438" t="s">
        <v>90</v>
      </c>
      <c r="G1225" s="439" t="s">
        <v>84</v>
      </c>
      <c r="H1225" s="457"/>
    </row>
    <row r="1226" spans="1:9">
      <c r="A1226" s="458" t="s">
        <v>490</v>
      </c>
      <c r="B1226" s="467"/>
      <c r="C1226" s="468"/>
      <c r="D1226" s="1004" t="s">
        <v>268</v>
      </c>
      <c r="E1226" s="1015">
        <f>3595230</f>
        <v>3595230</v>
      </c>
      <c r="F1226" s="1003">
        <v>1</v>
      </c>
      <c r="G1226" s="1003">
        <f>E1226*F1226</f>
        <v>3595230</v>
      </c>
      <c r="H1226" s="451"/>
      <c r="I1226" s="672"/>
    </row>
    <row r="1227" spans="1:9">
      <c r="A1227" s="469" t="s">
        <v>491</v>
      </c>
      <c r="B1227" s="467"/>
      <c r="C1227" s="468"/>
      <c r="D1227" s="1004" t="s">
        <v>268</v>
      </c>
      <c r="E1227" s="1010">
        <v>240000</v>
      </c>
      <c r="F1227" s="1003">
        <v>1</v>
      </c>
      <c r="G1227" s="1003">
        <f>E1227*F1227</f>
        <v>240000</v>
      </c>
      <c r="H1227" s="451"/>
    </row>
    <row r="1228" spans="1:9">
      <c r="A1228" s="469" t="s">
        <v>492</v>
      </c>
      <c r="B1228" s="467"/>
      <c r="C1228" s="471"/>
      <c r="D1228" s="995" t="s">
        <v>268</v>
      </c>
      <c r="E1228" s="1010">
        <f>96100*1.19</f>
        <v>114359</v>
      </c>
      <c r="F1228" s="1003">
        <v>10</v>
      </c>
      <c r="G1228" s="1001">
        <f t="shared" ref="G1228:G1229" si="6">E1228*F1228</f>
        <v>1143590</v>
      </c>
      <c r="H1228" s="451"/>
    </row>
    <row r="1229" spans="1:9">
      <c r="A1229" s="469" t="s">
        <v>493</v>
      </c>
      <c r="B1229" s="467"/>
      <c r="C1229" s="468"/>
      <c r="D1229" s="995" t="s">
        <v>268</v>
      </c>
      <c r="E1229" s="1010">
        <f>105000*1.19</f>
        <v>124950</v>
      </c>
      <c r="F1229" s="1003">
        <v>10</v>
      </c>
      <c r="G1229" s="1001">
        <f t="shared" si="6"/>
        <v>1249500</v>
      </c>
      <c r="H1229" s="451"/>
    </row>
    <row r="1230" spans="1:9" ht="15.75" thickBot="1">
      <c r="A1230" s="472"/>
      <c r="B1230" s="473"/>
      <c r="C1230" s="474"/>
      <c r="D1230" s="464"/>
      <c r="E1230" s="433"/>
      <c r="F1230" s="434"/>
      <c r="G1230" s="435"/>
      <c r="H1230" s="465"/>
    </row>
    <row r="1231" spans="1:9" ht="15.75" thickBot="1">
      <c r="A1231" s="436"/>
      <c r="B1231" s="436"/>
      <c r="C1231" s="436"/>
      <c r="D1231" s="436"/>
      <c r="E1231" s="436"/>
      <c r="F1231" s="436"/>
      <c r="G1231" s="437" t="s">
        <v>86</v>
      </c>
      <c r="H1231" s="466">
        <f>SUM(G1226:G1230)</f>
        <v>6228320</v>
      </c>
    </row>
    <row r="1232" spans="1:9" ht="15.75" thickBot="1">
      <c r="A1232" s="450" t="s">
        <v>94</v>
      </c>
      <c r="B1232" s="450"/>
      <c r="C1232" s="436"/>
      <c r="D1232" s="436"/>
      <c r="E1232" s="436"/>
      <c r="F1232" s="436"/>
      <c r="G1232" s="436"/>
      <c r="H1232" s="436"/>
    </row>
    <row r="1233" spans="1:10">
      <c r="A1233" s="1345" t="s">
        <v>95</v>
      </c>
      <c r="B1233" s="1346"/>
      <c r="C1233" s="1347"/>
      <c r="D1233" s="438" t="s">
        <v>88</v>
      </c>
      <c r="E1233" s="438" t="s">
        <v>89</v>
      </c>
      <c r="F1233" s="438" t="s">
        <v>90</v>
      </c>
      <c r="G1233" s="439" t="s">
        <v>84</v>
      </c>
      <c r="H1233" s="457"/>
    </row>
    <row r="1234" spans="1:10">
      <c r="A1234" s="458" t="s">
        <v>673</v>
      </c>
      <c r="B1234" s="467"/>
      <c r="C1234" s="468"/>
      <c r="D1234" s="459" t="s">
        <v>668</v>
      </c>
      <c r="E1234" s="430">
        <v>165000</v>
      </c>
      <c r="F1234" s="440">
        <f>1/10</f>
        <v>0.1</v>
      </c>
      <c r="G1234" s="432">
        <f>E1234*F1234</f>
        <v>16500</v>
      </c>
      <c r="H1234" s="460"/>
    </row>
    <row r="1235" spans="1:10" ht="15.75" thickBot="1">
      <c r="A1235" s="458" t="s">
        <v>235</v>
      </c>
      <c r="B1235" s="467"/>
      <c r="C1235" s="468"/>
      <c r="D1235" s="459" t="s">
        <v>173</v>
      </c>
      <c r="E1235" s="430">
        <v>21500</v>
      </c>
      <c r="F1235" s="440">
        <f>1/2.5</f>
        <v>0.4</v>
      </c>
      <c r="G1235" s="432">
        <f>E1235*F1235</f>
        <v>8600</v>
      </c>
      <c r="H1235" s="460"/>
    </row>
    <row r="1236" spans="1:10" ht="15.75" thickBot="1">
      <c r="A1236" s="436"/>
      <c r="B1236" s="436"/>
      <c r="C1236" s="436"/>
      <c r="D1236" s="436"/>
      <c r="E1236" s="436"/>
      <c r="F1236" s="436"/>
      <c r="G1236" s="437" t="s">
        <v>86</v>
      </c>
      <c r="H1236" s="466">
        <f>SUM(G1234:G1235)</f>
        <v>25100</v>
      </c>
    </row>
    <row r="1237" spans="1:10" ht="15.75" thickBot="1">
      <c r="A1237" s="450" t="s">
        <v>96</v>
      </c>
      <c r="B1237" s="450"/>
      <c r="C1237" s="436"/>
      <c r="D1237" s="436"/>
      <c r="E1237" s="436"/>
      <c r="F1237" s="436"/>
      <c r="G1237" s="436"/>
      <c r="H1237" s="436"/>
    </row>
    <row r="1238" spans="1:10">
      <c r="A1238" s="476" t="s">
        <v>97</v>
      </c>
      <c r="B1238" s="438"/>
      <c r="C1238" s="438" t="s">
        <v>98</v>
      </c>
      <c r="D1238" s="438" t="s">
        <v>99</v>
      </c>
      <c r="E1238" s="442" t="s">
        <v>100</v>
      </c>
      <c r="F1238" s="443" t="s">
        <v>83</v>
      </c>
      <c r="G1238" s="444" t="s">
        <v>84</v>
      </c>
      <c r="H1238" s="477"/>
    </row>
    <row r="1239" spans="1:10">
      <c r="A1239" s="478" t="s">
        <v>1109</v>
      </c>
      <c r="B1239" s="498">
        <v>2</v>
      </c>
      <c r="C1239" s="479">
        <f>+PERSONAL!$E$34</f>
        <v>100000</v>
      </c>
      <c r="D1239" s="480">
        <f>PERSONAL!$F$31</f>
        <v>1.7431000000000001</v>
      </c>
      <c r="E1239" s="440">
        <f>+D1239*C1239*B1239</f>
        <v>348620</v>
      </c>
      <c r="F1239" s="440">
        <v>0.65</v>
      </c>
      <c r="G1239" s="445">
        <f>ROUND(E1239/F1239,0)</f>
        <v>536338</v>
      </c>
      <c r="H1239" s="451"/>
    </row>
    <row r="1240" spans="1:10">
      <c r="A1240" s="478"/>
      <c r="B1240" s="467"/>
      <c r="C1240" s="479"/>
      <c r="D1240" s="480"/>
      <c r="E1240" s="440"/>
      <c r="F1240" s="440"/>
      <c r="G1240" s="445"/>
      <c r="H1240" s="451"/>
    </row>
    <row r="1241" spans="1:10">
      <c r="A1241" s="478"/>
      <c r="B1241" s="468"/>
      <c r="C1241" s="430"/>
      <c r="D1241" s="459"/>
      <c r="E1241" s="430"/>
      <c r="F1241" s="440"/>
      <c r="G1241" s="445"/>
      <c r="H1241" s="451"/>
    </row>
    <row r="1242" spans="1:10">
      <c r="A1242" s="478"/>
      <c r="B1242" s="468"/>
      <c r="C1242" s="430"/>
      <c r="D1242" s="459"/>
      <c r="E1242" s="430"/>
      <c r="F1242" s="440"/>
      <c r="G1242" s="445"/>
      <c r="H1242" s="451"/>
    </row>
    <row r="1243" spans="1:10" ht="15.75" thickBot="1">
      <c r="A1243" s="481"/>
      <c r="B1243" s="474"/>
      <c r="C1243" s="474"/>
      <c r="D1243" s="474"/>
      <c r="E1243" s="474"/>
      <c r="F1243" s="474"/>
      <c r="G1243" s="482"/>
      <c r="H1243" s="482"/>
    </row>
    <row r="1244" spans="1:10" ht="15.75" thickBot="1">
      <c r="A1244" s="436"/>
      <c r="B1244" s="436"/>
      <c r="C1244" s="436"/>
      <c r="D1244" s="436"/>
      <c r="E1244" s="436"/>
      <c r="F1244" s="436"/>
      <c r="G1244" s="437" t="s">
        <v>86</v>
      </c>
      <c r="H1244" s="466">
        <f>SUM(G1239:G1243)</f>
        <v>536338</v>
      </c>
    </row>
    <row r="1245" spans="1:10" ht="15.75" thickBot="1">
      <c r="A1245" s="436"/>
      <c r="B1245" s="436"/>
      <c r="C1245" s="436"/>
      <c r="D1245" s="436"/>
      <c r="E1245" s="436"/>
      <c r="F1245" s="436"/>
      <c r="G1245" s="483"/>
      <c r="H1245" s="436"/>
    </row>
    <row r="1246" spans="1:10" ht="15.75" thickBot="1">
      <c r="A1246" s="436"/>
      <c r="B1246" s="436"/>
      <c r="C1246" s="436"/>
      <c r="D1246" s="436"/>
      <c r="E1246" s="484" t="s">
        <v>102</v>
      </c>
      <c r="F1246" s="485"/>
      <c r="G1246" s="485"/>
      <c r="H1246" s="466">
        <f>H1223+H1231+H1236+H1244</f>
        <v>6854563.3615384614</v>
      </c>
      <c r="J1246" s="486"/>
    </row>
    <row r="1247" spans="1:10">
      <c r="A1247" s="436"/>
      <c r="B1247" s="436"/>
      <c r="C1247" s="436"/>
      <c r="D1247" s="436"/>
      <c r="E1247" s="436"/>
      <c r="F1247" s="436"/>
      <c r="G1247" s="436"/>
      <c r="H1247" s="436"/>
      <c r="I1247" s="678"/>
    </row>
    <row r="1248" spans="1:10" ht="15.75" thickBot="1">
      <c r="A1248" s="450" t="s">
        <v>103</v>
      </c>
      <c r="B1248" s="450"/>
      <c r="C1248" s="436"/>
      <c r="D1248" s="436"/>
      <c r="E1248" s="436"/>
      <c r="F1248" s="436"/>
      <c r="G1248" s="436"/>
      <c r="H1248" s="436"/>
    </row>
    <row r="1249" spans="1:10">
      <c r="A1249" s="487" t="s">
        <v>80</v>
      </c>
      <c r="B1249" s="488"/>
      <c r="C1249" s="488"/>
      <c r="D1249" s="488"/>
      <c r="E1249" s="489"/>
      <c r="F1249" s="490" t="s">
        <v>104</v>
      </c>
      <c r="G1249" s="491" t="s">
        <v>105</v>
      </c>
      <c r="H1249" s="457"/>
    </row>
    <row r="1250" spans="1:10">
      <c r="A1250" s="469" t="s">
        <v>106</v>
      </c>
      <c r="B1250" s="467"/>
      <c r="C1250" s="467"/>
      <c r="D1250" s="467"/>
      <c r="E1250" s="468"/>
      <c r="F1250" s="492">
        <f>PRESUPUESTO!$E$222</f>
        <v>0.109</v>
      </c>
      <c r="G1250" s="493">
        <f>+F1250*H1247</f>
        <v>0</v>
      </c>
      <c r="H1250" s="460"/>
    </row>
    <row r="1251" spans="1:10">
      <c r="A1251" s="469" t="s">
        <v>107</v>
      </c>
      <c r="B1251" s="467"/>
      <c r="C1251" s="467"/>
      <c r="D1251" s="467"/>
      <c r="E1251" s="468"/>
      <c r="F1251" s="492">
        <f>PRESUPUESTO!$E$223</f>
        <v>0.05</v>
      </c>
      <c r="G1251" s="493">
        <f>+F1251*H1247</f>
        <v>0</v>
      </c>
      <c r="H1251" s="460"/>
    </row>
    <row r="1252" spans="1:10" ht="15.75" thickBot="1">
      <c r="A1252" s="472" t="s">
        <v>108</v>
      </c>
      <c r="B1252" s="473"/>
      <c r="C1252" s="473"/>
      <c r="D1252" s="473"/>
      <c r="E1252" s="474"/>
      <c r="F1252" s="494">
        <v>0</v>
      </c>
      <c r="G1252" s="495">
        <f>+F1252*H1247</f>
        <v>0</v>
      </c>
      <c r="H1252" s="465"/>
    </row>
    <row r="1253" spans="1:10" ht="15.75" thickBot="1">
      <c r="A1253" s="436"/>
      <c r="B1253" s="436"/>
      <c r="C1253" s="436"/>
      <c r="D1253" s="436"/>
      <c r="E1253" s="436"/>
      <c r="F1253" s="436"/>
      <c r="G1253" s="437" t="s">
        <v>86</v>
      </c>
      <c r="H1253" s="496">
        <f>SUM(G1250:G1252)</f>
        <v>0</v>
      </c>
    </row>
    <row r="1254" spans="1:10" ht="15.75" thickBot="1">
      <c r="A1254" s="436"/>
      <c r="B1254" s="436"/>
      <c r="C1254" s="436"/>
      <c r="D1254" s="436"/>
      <c r="E1254" s="436"/>
      <c r="F1254" s="436"/>
      <c r="G1254" s="436"/>
      <c r="H1254" s="436"/>
    </row>
    <row r="1255" spans="1:10" ht="15.75" thickBot="1">
      <c r="A1255" s="446"/>
      <c r="B1255" s="446"/>
      <c r="C1255" s="436"/>
      <c r="D1255" s="484" t="s">
        <v>109</v>
      </c>
      <c r="E1255" s="485"/>
      <c r="F1255" s="485"/>
      <c r="G1255" s="485"/>
      <c r="H1255" s="466">
        <f>ROUND((H1247+H1253),0)</f>
        <v>0</v>
      </c>
    </row>
    <row r="1257" spans="1:10">
      <c r="A1257" s="186" t="s">
        <v>77</v>
      </c>
      <c r="B1257" s="446"/>
      <c r="C1257" s="446"/>
      <c r="D1257" s="446"/>
      <c r="E1257" s="446"/>
      <c r="F1257" s="446"/>
      <c r="G1257" s="446"/>
      <c r="H1257" s="446"/>
    </row>
    <row r="1258" spans="1:10" ht="15.75" thickBot="1">
      <c r="A1258" s="446"/>
      <c r="B1258" s="446"/>
      <c r="C1258" s="446"/>
      <c r="D1258" s="446"/>
      <c r="E1258" s="446"/>
      <c r="F1258" s="446"/>
      <c r="G1258" s="446"/>
      <c r="H1258" s="446"/>
    </row>
    <row r="1259" spans="1:10">
      <c r="A1259" s="1348" t="s">
        <v>213</v>
      </c>
      <c r="B1259" s="1349"/>
      <c r="C1259" s="1350"/>
      <c r="D1259" s="448"/>
      <c r="E1259" s="448"/>
      <c r="F1259" s="448"/>
      <c r="G1259" s="448"/>
      <c r="H1259" s="449"/>
    </row>
    <row r="1260" spans="1:10">
      <c r="A1260" s="1351"/>
      <c r="B1260" s="1352"/>
      <c r="C1260" s="1353"/>
      <c r="D1260" s="436"/>
      <c r="E1260" s="450" t="s">
        <v>78</v>
      </c>
      <c r="F1260" s="436"/>
      <c r="G1260" s="436"/>
      <c r="H1260" s="451"/>
    </row>
    <row r="1261" spans="1:10" ht="15.75" thickBot="1">
      <c r="A1261" s="1354"/>
      <c r="B1261" s="1355"/>
      <c r="C1261" s="1356"/>
      <c r="D1261" s="1360"/>
      <c r="E1261" s="1361"/>
      <c r="F1261" s="1361"/>
      <c r="G1261" s="1361"/>
      <c r="H1261" s="1362"/>
    </row>
    <row r="1262" spans="1:10">
      <c r="A1262" s="455"/>
      <c r="B1262" s="436"/>
      <c r="C1262" s="436"/>
      <c r="D1262" s="436"/>
      <c r="E1262" s="436"/>
      <c r="F1262" s="436"/>
      <c r="G1262" s="436"/>
      <c r="H1262" s="436"/>
    </row>
    <row r="1263" spans="1:10" s="446" customFormat="1" ht="12.75">
      <c r="A1263" s="455" t="s">
        <v>1146</v>
      </c>
      <c r="B1263" s="456" t="str">
        <f>+PRESUPUESTO!$B$70</f>
        <v>INSTALACIONES ELÉCTRICAS</v>
      </c>
      <c r="C1263" s="436"/>
      <c r="E1263" s="456"/>
      <c r="G1263" s="456" t="s">
        <v>1123</v>
      </c>
      <c r="H1263" s="483" t="s">
        <v>1190</v>
      </c>
      <c r="I1263" s="436"/>
      <c r="J1263" s="436"/>
    </row>
    <row r="1264" spans="1:10" s="931" customFormat="1" ht="52.15" customHeight="1">
      <c r="A1264" s="928" t="s">
        <v>1122</v>
      </c>
      <c r="B1264" s="1375" t="str">
        <f>VLOOKUP(H1263,PRESUPUESTO!$A$18:$F$251,2,FALSE)</f>
        <v xml:space="preserve">Suministro, transporte e instalación de cable 2No8+1No8+1No10 AWG-THHN, canalizado con sus accesorios de montaje, y demás elementos necesarios para su correcta instalación.  </v>
      </c>
      <c r="C1264" s="1375"/>
      <c r="D1264" s="1375"/>
      <c r="E1264" s="1375"/>
      <c r="F1264" s="1375"/>
      <c r="G1264" s="929" t="s">
        <v>9</v>
      </c>
      <c r="H1264" s="1024" t="str">
        <f>VLOOKUP(H1263,PRESUPUESTO!$A$18:$F$251,3,FALSE)</f>
        <v>ml</v>
      </c>
    </row>
    <row r="1265" spans="1:9">
      <c r="A1265" s="456"/>
      <c r="B1265" s="456"/>
      <c r="C1265" s="436"/>
      <c r="D1265" s="456"/>
      <c r="E1265" s="456"/>
      <c r="F1265" s="456"/>
      <c r="G1265" s="456"/>
      <c r="H1265" s="436"/>
    </row>
    <row r="1266" spans="1:9" ht="15.75" thickBot="1">
      <c r="A1266" s="450" t="s">
        <v>79</v>
      </c>
      <c r="B1266" s="450"/>
      <c r="C1266" s="436"/>
      <c r="D1266" s="436"/>
      <c r="E1266" s="436"/>
      <c r="F1266" s="436"/>
      <c r="G1266" s="436"/>
      <c r="H1266" s="436"/>
    </row>
    <row r="1267" spans="1:9">
      <c r="A1267" s="1345" t="s">
        <v>80</v>
      </c>
      <c r="B1267" s="1346"/>
      <c r="C1267" s="1347"/>
      <c r="D1267" s="438" t="s">
        <v>81</v>
      </c>
      <c r="E1267" s="438" t="s">
        <v>82</v>
      </c>
      <c r="F1267" s="438" t="s">
        <v>83</v>
      </c>
      <c r="G1267" s="439" t="s">
        <v>84</v>
      </c>
      <c r="H1267" s="457"/>
    </row>
    <row r="1268" spans="1:9">
      <c r="A1268" s="1357" t="s">
        <v>471</v>
      </c>
      <c r="B1268" s="1358"/>
      <c r="C1268" s="1359"/>
      <c r="D1268" s="459" t="s">
        <v>268</v>
      </c>
      <c r="E1268" s="440">
        <f>+H1293</f>
        <v>14385</v>
      </c>
      <c r="F1268" s="440">
        <v>0.05</v>
      </c>
      <c r="G1268" s="432">
        <f>E1268*F1268</f>
        <v>719.25</v>
      </c>
      <c r="H1268" s="460"/>
    </row>
    <row r="1269" spans="1:9">
      <c r="A1269" s="1357"/>
      <c r="B1269" s="1358"/>
      <c r="C1269" s="1359"/>
      <c r="D1269" s="461"/>
      <c r="E1269" s="462"/>
      <c r="F1269" s="497"/>
      <c r="G1269" s="432">
        <f>E1269*F1269</f>
        <v>0</v>
      </c>
      <c r="H1269" s="460"/>
    </row>
    <row r="1270" spans="1:9" ht="15.75" thickBot="1">
      <c r="A1270" s="1342"/>
      <c r="B1270" s="1343"/>
      <c r="C1270" s="1344"/>
      <c r="D1270" s="464"/>
      <c r="E1270" s="433"/>
      <c r="F1270" s="434"/>
      <c r="G1270" s="441">
        <f>E1270*F1270</f>
        <v>0</v>
      </c>
      <c r="H1270" s="465"/>
    </row>
    <row r="1271" spans="1:9" ht="15.75" thickBot="1">
      <c r="A1271" s="436"/>
      <c r="B1271" s="436"/>
      <c r="C1271" s="436"/>
      <c r="D1271" s="436"/>
      <c r="E1271" s="436"/>
      <c r="F1271" s="436"/>
      <c r="G1271" s="437" t="s">
        <v>86</v>
      </c>
      <c r="H1271" s="466">
        <f>SUM(G1268:G1270)</f>
        <v>719.25</v>
      </c>
    </row>
    <row r="1272" spans="1:9" ht="15.75" thickBot="1">
      <c r="A1272" s="450" t="s">
        <v>87</v>
      </c>
      <c r="B1272" s="450"/>
      <c r="C1272" s="436"/>
      <c r="D1272" s="436"/>
      <c r="E1272" s="436"/>
      <c r="F1272" s="436"/>
      <c r="G1272" s="436"/>
      <c r="H1272" s="436"/>
    </row>
    <row r="1273" spans="1:9">
      <c r="A1273" s="1345" t="s">
        <v>80</v>
      </c>
      <c r="B1273" s="1346"/>
      <c r="C1273" s="1347"/>
      <c r="D1273" s="438" t="s">
        <v>88</v>
      </c>
      <c r="E1273" s="438" t="s">
        <v>89</v>
      </c>
      <c r="F1273" s="438" t="s">
        <v>90</v>
      </c>
      <c r="G1273" s="439" t="s">
        <v>84</v>
      </c>
      <c r="H1273" s="457"/>
    </row>
    <row r="1274" spans="1:9">
      <c r="A1274" s="458" t="s">
        <v>433</v>
      </c>
      <c r="B1274" s="467"/>
      <c r="C1274" s="468"/>
      <c r="D1274" s="459" t="s">
        <v>268</v>
      </c>
      <c r="E1274" s="1009">
        <f>7009*1.19</f>
        <v>8340.7099999999991</v>
      </c>
      <c r="F1274" s="440">
        <f>3*1.05</f>
        <v>3.1500000000000004</v>
      </c>
      <c r="G1274" s="432">
        <f>E1274*F1274</f>
        <v>26273.236499999999</v>
      </c>
      <c r="H1274" s="460"/>
      <c r="I1274" s="672"/>
    </row>
    <row r="1275" spans="1:9">
      <c r="A1275" s="469" t="s">
        <v>449</v>
      </c>
      <c r="B1275" s="467"/>
      <c r="C1275" s="468"/>
      <c r="D1275" s="459" t="s">
        <v>268</v>
      </c>
      <c r="E1275" s="1009">
        <f>4300*1.19</f>
        <v>5117</v>
      </c>
      <c r="F1275" s="440">
        <v>1.05</v>
      </c>
      <c r="G1275" s="432">
        <f>F1275*E1275</f>
        <v>5372.85</v>
      </c>
      <c r="H1275" s="460"/>
      <c r="I1275" s="672"/>
    </row>
    <row r="1276" spans="1:9">
      <c r="A1276" s="469" t="s">
        <v>1111</v>
      </c>
      <c r="B1276" s="467"/>
      <c r="C1276" s="468"/>
      <c r="D1276" s="459" t="s">
        <v>268</v>
      </c>
      <c r="E1276" s="1014">
        <v>63000</v>
      </c>
      <c r="F1276" s="440">
        <f>1/100</f>
        <v>0.01</v>
      </c>
      <c r="G1276" s="432">
        <f>F1276*E1276</f>
        <v>630</v>
      </c>
      <c r="H1276" s="460"/>
    </row>
    <row r="1277" spans="1:9">
      <c r="A1277" s="469" t="s">
        <v>1112</v>
      </c>
      <c r="B1277" s="467"/>
      <c r="C1277" s="468"/>
      <c r="D1277" s="459" t="s">
        <v>268</v>
      </c>
      <c r="E1277" s="1014">
        <v>39900</v>
      </c>
      <c r="F1277" s="440">
        <f>+F1276/2</f>
        <v>5.0000000000000001E-3</v>
      </c>
      <c r="G1277" s="432">
        <f>F1277*E1277</f>
        <v>199.5</v>
      </c>
      <c r="H1277" s="460"/>
    </row>
    <row r="1278" spans="1:9">
      <c r="A1278" s="469" t="s">
        <v>1113</v>
      </c>
      <c r="B1278" s="467"/>
      <c r="C1278" s="468"/>
      <c r="D1278" s="459" t="s">
        <v>268</v>
      </c>
      <c r="E1278" s="1014">
        <v>9000</v>
      </c>
      <c r="F1278" s="431">
        <f>1/100</f>
        <v>0.01</v>
      </c>
      <c r="G1278" s="432">
        <f>F1278*E1278</f>
        <v>90</v>
      </c>
      <c r="H1278" s="460"/>
    </row>
    <row r="1279" spans="1:9" ht="15.75" thickBot="1">
      <c r="A1279" s="472"/>
      <c r="B1279" s="473"/>
      <c r="C1279" s="474"/>
      <c r="D1279" s="464"/>
      <c r="E1279" s="433"/>
      <c r="F1279" s="434"/>
      <c r="G1279" s="435"/>
      <c r="H1279" s="465"/>
    </row>
    <row r="1280" spans="1:9" ht="15.75" thickBot="1">
      <c r="A1280" s="436"/>
      <c r="B1280" s="436"/>
      <c r="C1280" s="436"/>
      <c r="D1280" s="436"/>
      <c r="E1280" s="436"/>
      <c r="F1280" s="436"/>
      <c r="G1280" s="437" t="s">
        <v>86</v>
      </c>
      <c r="H1280" s="466">
        <f>SUM(G1274:G1279)</f>
        <v>32565.586499999998</v>
      </c>
    </row>
    <row r="1281" spans="1:15" ht="15.75" thickBot="1">
      <c r="A1281" s="450" t="s">
        <v>94</v>
      </c>
      <c r="B1281" s="450"/>
      <c r="C1281" s="436"/>
      <c r="D1281" s="436"/>
      <c r="E1281" s="436"/>
      <c r="F1281" s="436"/>
      <c r="G1281" s="436"/>
      <c r="H1281" s="436"/>
    </row>
    <row r="1282" spans="1:15">
      <c r="A1282" s="1345" t="s">
        <v>95</v>
      </c>
      <c r="B1282" s="1346"/>
      <c r="C1282" s="1347"/>
      <c r="D1282" s="438" t="s">
        <v>88</v>
      </c>
      <c r="E1282" s="438" t="s">
        <v>89</v>
      </c>
      <c r="F1282" s="438" t="s">
        <v>90</v>
      </c>
      <c r="G1282" s="439" t="s">
        <v>84</v>
      </c>
      <c r="H1282" s="457"/>
    </row>
    <row r="1283" spans="1:15">
      <c r="A1283" s="458" t="s">
        <v>673</v>
      </c>
      <c r="B1283" s="467"/>
      <c r="C1283" s="468"/>
      <c r="D1283" s="459" t="s">
        <v>668</v>
      </c>
      <c r="E1283" s="430">
        <v>165000</v>
      </c>
      <c r="F1283" s="440">
        <f>1/120</f>
        <v>8.3333333333333332E-3</v>
      </c>
      <c r="G1283" s="432">
        <f>E1283*F1283</f>
        <v>1375</v>
      </c>
      <c r="H1283" s="460"/>
      <c r="K1283" s="1412" t="s">
        <v>1119</v>
      </c>
      <c r="L1283" s="1412"/>
      <c r="M1283" s="1412"/>
      <c r="N1283" s="1412"/>
      <c r="O1283" s="1412"/>
    </row>
    <row r="1284" spans="1:15" ht="15.75" thickBot="1">
      <c r="A1284" s="458" t="s">
        <v>235</v>
      </c>
      <c r="B1284" s="467"/>
      <c r="C1284" s="468"/>
      <c r="D1284" s="459" t="s">
        <v>173</v>
      </c>
      <c r="E1284" s="430">
        <v>21500</v>
      </c>
      <c r="F1284" s="440">
        <f>1/50</f>
        <v>0.02</v>
      </c>
      <c r="G1284" s="432">
        <f>E1284*F1284</f>
        <v>430</v>
      </c>
      <c r="H1284" s="460"/>
    </row>
    <row r="1285" spans="1:15" ht="15.75" thickBot="1">
      <c r="A1285" s="436"/>
      <c r="B1285" s="436"/>
      <c r="C1285" s="436"/>
      <c r="D1285" s="436"/>
      <c r="E1285" s="436"/>
      <c r="F1285" s="436"/>
      <c r="G1285" s="437" t="s">
        <v>86</v>
      </c>
      <c r="H1285" s="466">
        <f>SUM(G1283:G1284)</f>
        <v>1805</v>
      </c>
      <c r="I1285" s="676"/>
    </row>
    <row r="1286" spans="1:15" ht="15.75" thickBot="1">
      <c r="A1286" s="450" t="s">
        <v>96</v>
      </c>
      <c r="B1286" s="450"/>
      <c r="C1286" s="436"/>
      <c r="D1286" s="436"/>
      <c r="E1286" s="436"/>
      <c r="F1286" s="436"/>
      <c r="G1286" s="436"/>
      <c r="H1286" s="436"/>
    </row>
    <row r="1287" spans="1:15">
      <c r="A1287" s="476" t="s">
        <v>97</v>
      </c>
      <c r="B1287" s="438"/>
      <c r="C1287" s="438" t="s">
        <v>98</v>
      </c>
      <c r="D1287" s="438" t="s">
        <v>99</v>
      </c>
      <c r="E1287" s="442" t="s">
        <v>100</v>
      </c>
      <c r="F1287" s="443" t="s">
        <v>83</v>
      </c>
      <c r="G1287" s="444" t="s">
        <v>84</v>
      </c>
      <c r="H1287" s="477"/>
    </row>
    <row r="1288" spans="1:15">
      <c r="A1288" s="478" t="s">
        <v>1109</v>
      </c>
      <c r="B1288" s="467"/>
      <c r="C1288" s="479">
        <f>+PERSONAL!$E$34</f>
        <v>100000</v>
      </c>
      <c r="D1288" s="480">
        <f>PERSONAL!$F$31</f>
        <v>1.7431000000000001</v>
      </c>
      <c r="E1288" s="440">
        <f>+D1288*C1288</f>
        <v>174310</v>
      </c>
      <c r="F1288" s="440">
        <v>19</v>
      </c>
      <c r="G1288" s="445">
        <f>ROUND(E1288/F1288,0)</f>
        <v>9174</v>
      </c>
      <c r="H1288" s="451"/>
    </row>
    <row r="1289" spans="1:15">
      <c r="A1289" s="478" t="s">
        <v>1110</v>
      </c>
      <c r="B1289" s="467"/>
      <c r="C1289" s="479">
        <f>+PERSONAL!$E$33</f>
        <v>56800</v>
      </c>
      <c r="D1289" s="480">
        <f>PERSONAL!$F$31</f>
        <v>1.7431000000000001</v>
      </c>
      <c r="E1289" s="440">
        <f>+D1289*C1289</f>
        <v>99008.08</v>
      </c>
      <c r="F1289" s="440">
        <f>+F1288</f>
        <v>19</v>
      </c>
      <c r="G1289" s="445">
        <f>ROUND(E1289/F1289,0)</f>
        <v>5211</v>
      </c>
      <c r="H1289" s="451"/>
    </row>
    <row r="1290" spans="1:15">
      <c r="A1290" s="478"/>
      <c r="B1290" s="468"/>
      <c r="C1290" s="430"/>
      <c r="D1290" s="459"/>
      <c r="E1290" s="430"/>
      <c r="F1290" s="440"/>
      <c r="G1290" s="445"/>
      <c r="H1290" s="451"/>
    </row>
    <row r="1291" spans="1:15">
      <c r="A1291" s="478"/>
      <c r="B1291" s="468"/>
      <c r="C1291" s="430"/>
      <c r="D1291" s="459"/>
      <c r="E1291" s="430"/>
      <c r="F1291" s="440"/>
      <c r="G1291" s="445"/>
      <c r="H1291" s="451"/>
    </row>
    <row r="1292" spans="1:15" ht="15.75" thickBot="1">
      <c r="A1292" s="481"/>
      <c r="B1292" s="474"/>
      <c r="C1292" s="474"/>
      <c r="D1292" s="474"/>
      <c r="E1292" s="474"/>
      <c r="F1292" s="474"/>
      <c r="G1292" s="482"/>
      <c r="H1292" s="482"/>
    </row>
    <row r="1293" spans="1:15" ht="15.75" thickBot="1">
      <c r="A1293" s="436"/>
      <c r="B1293" s="436"/>
      <c r="C1293" s="436"/>
      <c r="D1293" s="436"/>
      <c r="E1293" s="436"/>
      <c r="F1293" s="436"/>
      <c r="G1293" s="437" t="s">
        <v>86</v>
      </c>
      <c r="H1293" s="466">
        <f>SUM(G1288:G1292)</f>
        <v>14385</v>
      </c>
      <c r="I1293" s="676"/>
    </row>
    <row r="1294" spans="1:15" ht="15.75" thickBot="1">
      <c r="A1294" s="436"/>
      <c r="B1294" s="436"/>
      <c r="C1294" s="436"/>
      <c r="D1294" s="436"/>
      <c r="E1294" s="436"/>
      <c r="F1294" s="436"/>
      <c r="G1294" s="483"/>
      <c r="H1294" s="436"/>
    </row>
    <row r="1295" spans="1:15" ht="15.75" thickBot="1">
      <c r="A1295" s="436"/>
      <c r="B1295" s="436"/>
      <c r="C1295" s="436"/>
      <c r="D1295" s="436"/>
      <c r="E1295" s="484" t="s">
        <v>102</v>
      </c>
      <c r="F1295" s="485"/>
      <c r="G1295" s="485"/>
      <c r="H1295" s="466">
        <f>H1271+H1280+H1285+H1293</f>
        <v>49474.836499999998</v>
      </c>
      <c r="J1295" s="486"/>
    </row>
    <row r="1296" spans="1:15" ht="15.75" thickBot="1">
      <c r="A1296" s="450" t="s">
        <v>103</v>
      </c>
      <c r="B1296" s="450"/>
      <c r="C1296" s="436"/>
      <c r="D1296" s="436"/>
      <c r="E1296" s="436"/>
      <c r="F1296" s="436"/>
      <c r="G1296" s="436"/>
      <c r="H1296" s="436"/>
    </row>
    <row r="1297" spans="1:10">
      <c r="A1297" s="487" t="s">
        <v>80</v>
      </c>
      <c r="B1297" s="488"/>
      <c r="C1297" s="488"/>
      <c r="D1297" s="488"/>
      <c r="E1297" s="489"/>
      <c r="F1297" s="490" t="s">
        <v>104</v>
      </c>
      <c r="G1297" s="491" t="s">
        <v>105</v>
      </c>
      <c r="H1297" s="457"/>
    </row>
    <row r="1298" spans="1:10">
      <c r="A1298" s="469" t="s">
        <v>106</v>
      </c>
      <c r="B1298" s="467"/>
      <c r="C1298" s="467"/>
      <c r="D1298" s="467"/>
      <c r="E1298" s="468"/>
      <c r="F1298" s="492">
        <f>PRESUPUESTO!$E$222</f>
        <v>0.109</v>
      </c>
      <c r="G1298" s="493">
        <f>+F1298*H1295</f>
        <v>5392.7571785</v>
      </c>
      <c r="H1298" s="460"/>
    </row>
    <row r="1299" spans="1:10">
      <c r="A1299" s="469" t="s">
        <v>107</v>
      </c>
      <c r="B1299" s="467"/>
      <c r="C1299" s="467"/>
      <c r="D1299" s="467"/>
      <c r="E1299" s="468"/>
      <c r="F1299" s="492">
        <f>PRESUPUESTO!$E$223</f>
        <v>0.05</v>
      </c>
      <c r="G1299" s="493">
        <f>+F1299*H1295</f>
        <v>2473.7418250000001</v>
      </c>
      <c r="H1299" s="460"/>
    </row>
    <row r="1300" spans="1:10" ht="15.75" thickBot="1">
      <c r="A1300" s="472" t="s">
        <v>108</v>
      </c>
      <c r="B1300" s="473"/>
      <c r="C1300" s="473"/>
      <c r="D1300" s="473"/>
      <c r="E1300" s="474"/>
      <c r="F1300" s="494">
        <v>0</v>
      </c>
      <c r="G1300" s="495">
        <f>+F1300*H1295</f>
        <v>0</v>
      </c>
      <c r="H1300" s="465"/>
    </row>
    <row r="1301" spans="1:10" ht="15.75" thickBot="1">
      <c r="A1301" s="436"/>
      <c r="B1301" s="436"/>
      <c r="C1301" s="436"/>
      <c r="D1301" s="436"/>
      <c r="E1301" s="436"/>
      <c r="F1301" s="436"/>
      <c r="G1301" s="437" t="s">
        <v>86</v>
      </c>
      <c r="H1301" s="496">
        <f>SUM(G1298:G1300)</f>
        <v>7866.4990035000001</v>
      </c>
    </row>
    <row r="1302" spans="1:10" ht="15.75" thickBot="1">
      <c r="A1302" s="436"/>
      <c r="B1302" s="436"/>
      <c r="C1302" s="436"/>
      <c r="D1302" s="436"/>
      <c r="E1302" s="436"/>
      <c r="F1302" s="436"/>
      <c r="G1302" s="436"/>
      <c r="H1302" s="436"/>
    </row>
    <row r="1303" spans="1:10" ht="15.75" thickBot="1">
      <c r="A1303" s="446"/>
      <c r="B1303" s="446"/>
      <c r="C1303" s="436"/>
      <c r="D1303" s="484" t="s">
        <v>109</v>
      </c>
      <c r="E1303" s="485"/>
      <c r="F1303" s="485"/>
      <c r="G1303" s="485"/>
      <c r="H1303" s="466">
        <f>ROUND((H1295+H1301),0)</f>
        <v>57341</v>
      </c>
    </row>
    <row r="1304" spans="1:10">
      <c r="A1304" s="446"/>
      <c r="B1304" s="446"/>
      <c r="C1304" s="446"/>
      <c r="D1304" s="446"/>
      <c r="E1304" s="446"/>
      <c r="F1304" s="446"/>
      <c r="G1304" s="446"/>
      <c r="H1304" s="446"/>
    </row>
    <row r="1305" spans="1:10">
      <c r="A1305" s="186" t="s">
        <v>77</v>
      </c>
      <c r="B1305" s="446"/>
      <c r="C1305" s="446"/>
      <c r="D1305" s="446"/>
      <c r="E1305" s="446"/>
      <c r="F1305" s="446"/>
      <c r="G1305" s="446"/>
      <c r="H1305" s="446"/>
    </row>
    <row r="1306" spans="1:10" ht="15.75" thickBot="1">
      <c r="A1306" s="446"/>
      <c r="B1306" s="446"/>
      <c r="C1306" s="446"/>
      <c r="D1306" s="446"/>
      <c r="E1306" s="446"/>
      <c r="F1306" s="446"/>
      <c r="G1306" s="446"/>
      <c r="H1306" s="446"/>
    </row>
    <row r="1307" spans="1:10">
      <c r="A1307" s="1348" t="s">
        <v>213</v>
      </c>
      <c r="B1307" s="1349"/>
      <c r="C1307" s="1350"/>
      <c r="D1307" s="448"/>
      <c r="E1307" s="448"/>
      <c r="F1307" s="448"/>
      <c r="G1307" s="448"/>
      <c r="H1307" s="449"/>
    </row>
    <row r="1308" spans="1:10">
      <c r="A1308" s="1351"/>
      <c r="B1308" s="1352"/>
      <c r="C1308" s="1353"/>
      <c r="D1308" s="436"/>
      <c r="E1308" s="450" t="s">
        <v>78</v>
      </c>
      <c r="F1308" s="436"/>
      <c r="G1308" s="436"/>
      <c r="H1308" s="451"/>
    </row>
    <row r="1309" spans="1:10" ht="15.75" thickBot="1">
      <c r="A1309" s="1354"/>
      <c r="B1309" s="1355"/>
      <c r="C1309" s="1356"/>
      <c r="D1309" s="1360"/>
      <c r="E1309" s="1361"/>
      <c r="F1309" s="1361"/>
      <c r="G1309" s="1361"/>
      <c r="H1309" s="1362"/>
    </row>
    <row r="1310" spans="1:10">
      <c r="A1310" s="455"/>
      <c r="B1310" s="436"/>
      <c r="C1310" s="436"/>
      <c r="D1310" s="436"/>
      <c r="E1310" s="436"/>
      <c r="F1310" s="436"/>
      <c r="G1310" s="436"/>
      <c r="H1310" s="436"/>
    </row>
    <row r="1311" spans="1:10" s="446" customFormat="1" ht="12.75">
      <c r="A1311" s="455" t="s">
        <v>1146</v>
      </c>
      <c r="B1311" s="456" t="str">
        <f>+PRESUPUESTO!$B$70</f>
        <v>INSTALACIONES ELÉCTRICAS</v>
      </c>
      <c r="C1311" s="436"/>
      <c r="E1311" s="456"/>
      <c r="G1311" s="456" t="s">
        <v>1123</v>
      </c>
      <c r="H1311" s="483" t="s">
        <v>1191</v>
      </c>
      <c r="I1311" s="436"/>
      <c r="J1311" s="436"/>
    </row>
    <row r="1312" spans="1:10" s="931" customFormat="1" ht="52.15" customHeight="1">
      <c r="A1312" s="928" t="s">
        <v>1122</v>
      </c>
      <c r="B1312" s="1375" t="str">
        <f>VLOOKUP(H1311,PRESUPUESTO!$A$18:$F$251,2,FALSE)</f>
        <v xml:space="preserve">Suministro, transporte e instalación de tubería tipo PVC de 1" de diámetro, canalizada, con sus accesorios de montaje, y demás elementos necesarios para su correcta instalación.  </v>
      </c>
      <c r="C1312" s="1375"/>
      <c r="D1312" s="1375"/>
      <c r="E1312" s="1375"/>
      <c r="F1312" s="1375"/>
      <c r="G1312" s="929" t="s">
        <v>9</v>
      </c>
      <c r="H1312" s="1024" t="str">
        <f>VLOOKUP(H1311,PRESUPUESTO!$A$18:$F$251,3,FALSE)</f>
        <v>ml</v>
      </c>
    </row>
    <row r="1313" spans="1:8">
      <c r="A1313" s="456"/>
      <c r="B1313" s="456"/>
      <c r="C1313" s="436"/>
      <c r="D1313" s="456"/>
      <c r="E1313" s="456"/>
      <c r="F1313" s="456"/>
      <c r="G1313" s="456"/>
      <c r="H1313" s="436"/>
    </row>
    <row r="1314" spans="1:8" ht="15.75" thickBot="1">
      <c r="A1314" s="450" t="s">
        <v>79</v>
      </c>
      <c r="B1314" s="450"/>
      <c r="C1314" s="436"/>
      <c r="D1314" s="436"/>
      <c r="E1314" s="436"/>
      <c r="F1314" s="436"/>
      <c r="G1314" s="436"/>
      <c r="H1314" s="436"/>
    </row>
    <row r="1315" spans="1:8">
      <c r="A1315" s="1345" t="s">
        <v>80</v>
      </c>
      <c r="B1315" s="1346"/>
      <c r="C1315" s="1347"/>
      <c r="D1315" s="438" t="s">
        <v>81</v>
      </c>
      <c r="E1315" s="438" t="s">
        <v>82</v>
      </c>
      <c r="F1315" s="438" t="s">
        <v>83</v>
      </c>
      <c r="G1315" s="439" t="s">
        <v>84</v>
      </c>
      <c r="H1315" s="457"/>
    </row>
    <row r="1316" spans="1:8">
      <c r="A1316" s="1357" t="s">
        <v>471</v>
      </c>
      <c r="B1316" s="1358"/>
      <c r="C1316" s="1359"/>
      <c r="D1316" s="459" t="s">
        <v>268</v>
      </c>
      <c r="E1316" s="440">
        <v>665</v>
      </c>
      <c r="F1316" s="440">
        <v>1</v>
      </c>
      <c r="G1316" s="432">
        <f>E1316*F1316</f>
        <v>665</v>
      </c>
      <c r="H1316" s="460"/>
    </row>
    <row r="1317" spans="1:8">
      <c r="A1317" s="1357"/>
      <c r="B1317" s="1358"/>
      <c r="C1317" s="1359"/>
      <c r="D1317" s="461"/>
      <c r="E1317" s="462"/>
      <c r="F1317" s="497"/>
      <c r="G1317" s="432">
        <f>E1317*F1317</f>
        <v>0</v>
      </c>
      <c r="H1317" s="460"/>
    </row>
    <row r="1318" spans="1:8" ht="15.75" thickBot="1">
      <c r="A1318" s="1342"/>
      <c r="B1318" s="1343"/>
      <c r="C1318" s="1344"/>
      <c r="D1318" s="464"/>
      <c r="E1318" s="433"/>
      <c r="F1318" s="434"/>
      <c r="G1318" s="441">
        <f>E1318*F1318</f>
        <v>0</v>
      </c>
      <c r="H1318" s="465"/>
    </row>
    <row r="1319" spans="1:8" ht="15.75" thickBot="1">
      <c r="A1319" s="436"/>
      <c r="B1319" s="436"/>
      <c r="C1319" s="436"/>
      <c r="D1319" s="436"/>
      <c r="E1319" s="436"/>
      <c r="F1319" s="436"/>
      <c r="G1319" s="437" t="s">
        <v>86</v>
      </c>
      <c r="H1319" s="466">
        <f>SUM(G1316:G1318)</f>
        <v>665</v>
      </c>
    </row>
    <row r="1320" spans="1:8" ht="15.75" thickBot="1">
      <c r="A1320" s="450" t="s">
        <v>87</v>
      </c>
      <c r="B1320" s="450"/>
      <c r="C1320" s="436"/>
      <c r="D1320" s="436"/>
      <c r="E1320" s="436"/>
      <c r="F1320" s="436"/>
      <c r="G1320" s="436"/>
      <c r="H1320" s="436"/>
    </row>
    <row r="1321" spans="1:8">
      <c r="A1321" s="1345" t="s">
        <v>80</v>
      </c>
      <c r="B1321" s="1346"/>
      <c r="C1321" s="1347"/>
      <c r="D1321" s="438" t="s">
        <v>88</v>
      </c>
      <c r="E1321" s="438" t="s">
        <v>89</v>
      </c>
      <c r="F1321" s="438" t="s">
        <v>90</v>
      </c>
      <c r="G1321" s="439" t="s">
        <v>84</v>
      </c>
      <c r="H1321" s="457"/>
    </row>
    <row r="1322" spans="1:8">
      <c r="A1322" s="458" t="s">
        <v>440</v>
      </c>
      <c r="B1322" s="467"/>
      <c r="C1322" s="468"/>
      <c r="D1322" s="459" t="s">
        <v>268</v>
      </c>
      <c r="E1322" s="1009">
        <f>4069*1.19</f>
        <v>4842.1099999999997</v>
      </c>
      <c r="F1322" s="440">
        <v>0.2</v>
      </c>
      <c r="G1322" s="432">
        <f>E1322*F1322</f>
        <v>968.42200000000003</v>
      </c>
      <c r="H1322" s="460"/>
    </row>
    <row r="1323" spans="1:8">
      <c r="A1323" s="469" t="s">
        <v>441</v>
      </c>
      <c r="B1323" s="467"/>
      <c r="C1323" s="468"/>
      <c r="D1323" s="459" t="s">
        <v>271</v>
      </c>
      <c r="E1323" s="1009">
        <f>12770*1.19/3</f>
        <v>5065.4333333333334</v>
      </c>
      <c r="F1323" s="440">
        <v>1</v>
      </c>
      <c r="G1323" s="432">
        <f>E1323*F1323</f>
        <v>5065.4333333333334</v>
      </c>
      <c r="H1323" s="460"/>
    </row>
    <row r="1324" spans="1:8">
      <c r="A1324" s="469" t="s">
        <v>442</v>
      </c>
      <c r="B1324" s="467"/>
      <c r="C1324" s="471"/>
      <c r="D1324" s="459" t="s">
        <v>268</v>
      </c>
      <c r="E1324" s="1009">
        <f>1293*1.19</f>
        <v>1538.6699999999998</v>
      </c>
      <c r="F1324" s="431">
        <v>0.2</v>
      </c>
      <c r="G1324" s="432">
        <f>E1324*F1324</f>
        <v>307.73399999999998</v>
      </c>
      <c r="H1324" s="460"/>
    </row>
    <row r="1325" spans="1:8">
      <c r="A1325" s="469"/>
      <c r="B1325" s="467"/>
      <c r="C1325" s="468"/>
      <c r="D1325" s="459"/>
      <c r="E1325" s="430"/>
      <c r="F1325" s="431"/>
      <c r="G1325" s="432"/>
      <c r="H1325" s="460"/>
    </row>
    <row r="1326" spans="1:8">
      <c r="A1326" s="469"/>
      <c r="B1326" s="467"/>
      <c r="C1326" s="468"/>
      <c r="D1326" s="459"/>
      <c r="E1326" s="430"/>
      <c r="F1326" s="431"/>
      <c r="G1326" s="432"/>
      <c r="H1326" s="460"/>
    </row>
    <row r="1327" spans="1:8" ht="15.75" thickBot="1">
      <c r="A1327" s="472"/>
      <c r="B1327" s="473"/>
      <c r="C1327" s="474"/>
      <c r="D1327" s="464"/>
      <c r="E1327" s="433"/>
      <c r="F1327" s="434"/>
      <c r="G1327" s="435"/>
      <c r="H1327" s="465"/>
    </row>
    <row r="1328" spans="1:8" ht="15.75" thickBot="1">
      <c r="A1328" s="436"/>
      <c r="B1328" s="436"/>
      <c r="C1328" s="436"/>
      <c r="D1328" s="436"/>
      <c r="E1328" s="436"/>
      <c r="F1328" s="436"/>
      <c r="G1328" s="437" t="s">
        <v>86</v>
      </c>
      <c r="H1328" s="466">
        <f>SUM(G1322:G1327)</f>
        <v>6341.5893333333333</v>
      </c>
    </row>
    <row r="1329" spans="1:8" ht="15.75" thickBot="1">
      <c r="A1329" s="450" t="s">
        <v>94</v>
      </c>
      <c r="B1329" s="450"/>
      <c r="C1329" s="436"/>
      <c r="D1329" s="436"/>
      <c r="E1329" s="436"/>
      <c r="F1329" s="436"/>
      <c r="G1329" s="436"/>
      <c r="H1329" s="436"/>
    </row>
    <row r="1330" spans="1:8">
      <c r="A1330" s="1345" t="s">
        <v>95</v>
      </c>
      <c r="B1330" s="1346"/>
      <c r="C1330" s="1347"/>
      <c r="D1330" s="438" t="s">
        <v>88</v>
      </c>
      <c r="E1330" s="438" t="s">
        <v>89</v>
      </c>
      <c r="F1330" s="438" t="s">
        <v>90</v>
      </c>
      <c r="G1330" s="439" t="s">
        <v>84</v>
      </c>
      <c r="H1330" s="457"/>
    </row>
    <row r="1331" spans="1:8">
      <c r="A1331" s="458" t="s">
        <v>235</v>
      </c>
      <c r="B1331" s="467"/>
      <c r="C1331" s="468"/>
      <c r="D1331" s="459" t="s">
        <v>271</v>
      </c>
      <c r="E1331" s="430">
        <v>1500</v>
      </c>
      <c r="F1331" s="440">
        <v>1</v>
      </c>
      <c r="G1331" s="432">
        <f>E1331*F1331</f>
        <v>1500</v>
      </c>
      <c r="H1331" s="460"/>
    </row>
    <row r="1332" spans="1:8" ht="15.75" thickBot="1">
      <c r="A1332" s="1342"/>
      <c r="B1332" s="1343"/>
      <c r="C1332" s="1344"/>
      <c r="D1332" s="475"/>
      <c r="E1332" s="433"/>
      <c r="F1332" s="434"/>
      <c r="G1332" s="441"/>
      <c r="H1332" s="460"/>
    </row>
    <row r="1333" spans="1:8" ht="15.75" thickBot="1">
      <c r="A1333" s="436"/>
      <c r="B1333" s="436"/>
      <c r="C1333" s="436"/>
      <c r="D1333" s="436"/>
      <c r="E1333" s="436"/>
      <c r="F1333" s="436"/>
      <c r="G1333" s="437" t="s">
        <v>86</v>
      </c>
      <c r="H1333" s="466">
        <f>SUM(G1331:G1332)</f>
        <v>1500</v>
      </c>
    </row>
    <row r="1334" spans="1:8" ht="15.75" thickBot="1">
      <c r="A1334" s="450" t="s">
        <v>96</v>
      </c>
      <c r="B1334" s="450"/>
      <c r="C1334" s="436"/>
      <c r="D1334" s="436"/>
      <c r="E1334" s="436"/>
      <c r="F1334" s="436"/>
      <c r="G1334" s="436"/>
      <c r="H1334" s="436"/>
    </row>
    <row r="1335" spans="1:8">
      <c r="A1335" s="476" t="s">
        <v>97</v>
      </c>
      <c r="B1335" s="438"/>
      <c r="C1335" s="438" t="s">
        <v>98</v>
      </c>
      <c r="D1335" s="438" t="s">
        <v>99</v>
      </c>
      <c r="E1335" s="442" t="s">
        <v>100</v>
      </c>
      <c r="F1335" s="443" t="s">
        <v>83</v>
      </c>
      <c r="G1335" s="444" t="s">
        <v>84</v>
      </c>
      <c r="H1335" s="477"/>
    </row>
    <row r="1336" spans="1:8">
      <c r="A1336" s="478" t="s">
        <v>101</v>
      </c>
      <c r="B1336" s="467"/>
      <c r="C1336" s="479">
        <f>PERSONAL!$E$32</f>
        <v>87200</v>
      </c>
      <c r="D1336" s="480">
        <f>PERSONAL!$F$31</f>
        <v>1.7431000000000001</v>
      </c>
      <c r="E1336" s="440">
        <f>+D1336*C1336</f>
        <v>151998.32</v>
      </c>
      <c r="F1336" s="440">
        <v>30</v>
      </c>
      <c r="G1336" s="445">
        <f>ROUND(E1336/F1336,0)</f>
        <v>5067</v>
      </c>
      <c r="H1336" s="451"/>
    </row>
    <row r="1337" spans="1:8">
      <c r="A1337" s="478"/>
      <c r="B1337" s="467"/>
      <c r="C1337" s="479"/>
      <c r="D1337" s="480"/>
      <c r="E1337" s="440"/>
      <c r="F1337" s="440"/>
      <c r="G1337" s="445"/>
      <c r="H1337" s="451"/>
    </row>
    <row r="1338" spans="1:8">
      <c r="A1338" s="478"/>
      <c r="B1338" s="468"/>
      <c r="C1338" s="430"/>
      <c r="D1338" s="459"/>
      <c r="E1338" s="430"/>
      <c r="F1338" s="440"/>
      <c r="G1338" s="445"/>
      <c r="H1338" s="451"/>
    </row>
    <row r="1339" spans="1:8">
      <c r="A1339" s="478"/>
      <c r="B1339" s="468"/>
      <c r="C1339" s="430"/>
      <c r="D1339" s="459"/>
      <c r="E1339" s="430"/>
      <c r="F1339" s="440"/>
      <c r="G1339" s="445"/>
      <c r="H1339" s="451"/>
    </row>
    <row r="1340" spans="1:8" ht="15.75" thickBot="1">
      <c r="A1340" s="481"/>
      <c r="B1340" s="474"/>
      <c r="C1340" s="474"/>
      <c r="D1340" s="474"/>
      <c r="E1340" s="474"/>
      <c r="F1340" s="474"/>
      <c r="G1340" s="482"/>
      <c r="H1340" s="482"/>
    </row>
    <row r="1341" spans="1:8" ht="15.75" thickBot="1">
      <c r="A1341" s="436"/>
      <c r="B1341" s="436"/>
      <c r="C1341" s="436"/>
      <c r="D1341" s="436"/>
      <c r="E1341" s="436"/>
      <c r="F1341" s="436"/>
      <c r="G1341" s="437" t="s">
        <v>86</v>
      </c>
      <c r="H1341" s="466">
        <f>SUM(G1336:G1340)</f>
        <v>5067</v>
      </c>
    </row>
    <row r="1342" spans="1:8" ht="15.75" thickBot="1">
      <c r="A1342" s="436"/>
      <c r="B1342" s="436"/>
      <c r="C1342" s="436"/>
      <c r="D1342" s="436"/>
      <c r="E1342" s="436"/>
      <c r="F1342" s="436"/>
      <c r="G1342" s="483"/>
      <c r="H1342" s="436"/>
    </row>
    <row r="1343" spans="1:8" ht="15.75" thickBot="1">
      <c r="A1343" s="436"/>
      <c r="B1343" s="436"/>
      <c r="C1343" s="436"/>
      <c r="D1343" s="436"/>
      <c r="E1343" s="484" t="s">
        <v>102</v>
      </c>
      <c r="F1343" s="485"/>
      <c r="G1343" s="485"/>
      <c r="H1343" s="466">
        <f>H1319+H1328+H1333+H1341</f>
        <v>13573.589333333333</v>
      </c>
    </row>
    <row r="1344" spans="1:8" ht="15.75" thickBot="1">
      <c r="A1344" s="450" t="s">
        <v>103</v>
      </c>
      <c r="B1344" s="450"/>
      <c r="C1344" s="436"/>
      <c r="D1344" s="436"/>
      <c r="E1344" s="436"/>
      <c r="F1344" s="436"/>
      <c r="G1344" s="436"/>
      <c r="H1344" s="436"/>
    </row>
    <row r="1345" spans="1:10">
      <c r="A1345" s="487" t="s">
        <v>80</v>
      </c>
      <c r="B1345" s="488"/>
      <c r="C1345" s="488"/>
      <c r="D1345" s="488"/>
      <c r="E1345" s="489"/>
      <c r="F1345" s="490" t="s">
        <v>104</v>
      </c>
      <c r="G1345" s="491" t="s">
        <v>105</v>
      </c>
      <c r="H1345" s="457"/>
    </row>
    <row r="1346" spans="1:10">
      <c r="A1346" s="469" t="s">
        <v>106</v>
      </c>
      <c r="B1346" s="467"/>
      <c r="C1346" s="467"/>
      <c r="D1346" s="467"/>
      <c r="E1346" s="468"/>
      <c r="F1346" s="492">
        <f>PRESUPUESTO!$E$222</f>
        <v>0.109</v>
      </c>
      <c r="G1346" s="493">
        <f>+F1346*H1343</f>
        <v>1479.5212373333334</v>
      </c>
      <c r="H1346" s="460"/>
    </row>
    <row r="1347" spans="1:10">
      <c r="A1347" s="469" t="s">
        <v>107</v>
      </c>
      <c r="B1347" s="467"/>
      <c r="C1347" s="467"/>
      <c r="D1347" s="467"/>
      <c r="E1347" s="468"/>
      <c r="F1347" s="492">
        <f>PRESUPUESTO!$E$223</f>
        <v>0.05</v>
      </c>
      <c r="G1347" s="493">
        <f>+F1347*H1343</f>
        <v>678.67946666666671</v>
      </c>
      <c r="H1347" s="460"/>
    </row>
    <row r="1348" spans="1:10" ht="15.75" thickBot="1">
      <c r="A1348" s="472" t="s">
        <v>108</v>
      </c>
      <c r="B1348" s="473"/>
      <c r="C1348" s="473"/>
      <c r="D1348" s="473"/>
      <c r="E1348" s="474"/>
      <c r="F1348" s="494">
        <v>0</v>
      </c>
      <c r="G1348" s="495">
        <f>+F1348*H1343</f>
        <v>0</v>
      </c>
      <c r="H1348" s="465"/>
    </row>
    <row r="1349" spans="1:10" ht="15.75" thickBot="1">
      <c r="A1349" s="436"/>
      <c r="B1349" s="436"/>
      <c r="C1349" s="436"/>
      <c r="D1349" s="436"/>
      <c r="E1349" s="436"/>
      <c r="F1349" s="436"/>
      <c r="G1349" s="437" t="s">
        <v>86</v>
      </c>
      <c r="H1349" s="496">
        <f>SUM(G1346:G1348)</f>
        <v>2158.2007039999999</v>
      </c>
    </row>
    <row r="1350" spans="1:10" ht="15.75" thickBot="1">
      <c r="A1350" s="436"/>
      <c r="B1350" s="436"/>
      <c r="C1350" s="436"/>
      <c r="D1350" s="436"/>
      <c r="E1350" s="436"/>
      <c r="F1350" s="436"/>
      <c r="G1350" s="436"/>
      <c r="H1350" s="436"/>
    </row>
    <row r="1351" spans="1:10" ht="15.75" thickBot="1">
      <c r="A1351" s="446"/>
      <c r="B1351" s="446"/>
      <c r="C1351" s="436"/>
      <c r="D1351" s="484" t="s">
        <v>109</v>
      </c>
      <c r="E1351" s="485"/>
      <c r="F1351" s="485"/>
      <c r="G1351" s="485"/>
      <c r="H1351" s="466">
        <f>ROUND((H1343+H1349),0)</f>
        <v>15732</v>
      </c>
    </row>
    <row r="1353" spans="1:10">
      <c r="A1353" s="186" t="s">
        <v>77</v>
      </c>
      <c r="B1353" s="446"/>
      <c r="C1353" s="446"/>
      <c r="D1353" s="446"/>
      <c r="E1353" s="446"/>
      <c r="F1353" s="446"/>
      <c r="G1353" s="446"/>
      <c r="H1353" s="446"/>
    </row>
    <row r="1354" spans="1:10" ht="15.75" thickBot="1">
      <c r="A1354" s="446"/>
      <c r="B1354" s="446"/>
      <c r="C1354" s="446"/>
      <c r="D1354" s="446"/>
      <c r="E1354" s="446"/>
      <c r="F1354" s="446"/>
      <c r="G1354" s="446"/>
      <c r="H1354" s="446"/>
    </row>
    <row r="1355" spans="1:10">
      <c r="A1355" s="1348" t="s">
        <v>213</v>
      </c>
      <c r="B1355" s="1349"/>
      <c r="C1355" s="1350"/>
      <c r="D1355" s="448"/>
      <c r="E1355" s="448"/>
      <c r="F1355" s="448"/>
      <c r="G1355" s="448"/>
      <c r="H1355" s="449"/>
    </row>
    <row r="1356" spans="1:10">
      <c r="A1356" s="1351"/>
      <c r="B1356" s="1352"/>
      <c r="C1356" s="1353"/>
      <c r="D1356" s="436"/>
      <c r="E1356" s="450" t="s">
        <v>78</v>
      </c>
      <c r="F1356" s="436"/>
      <c r="G1356" s="436"/>
      <c r="H1356" s="451"/>
    </row>
    <row r="1357" spans="1:10" ht="15.75" thickBot="1">
      <c r="A1357" s="1354"/>
      <c r="B1357" s="1355"/>
      <c r="C1357" s="1356"/>
      <c r="D1357" s="1360"/>
      <c r="E1357" s="1361"/>
      <c r="F1357" s="1361"/>
      <c r="G1357" s="1361"/>
      <c r="H1357" s="1362"/>
    </row>
    <row r="1358" spans="1:10">
      <c r="A1358" s="455"/>
      <c r="B1358" s="436"/>
      <c r="C1358" s="436"/>
      <c r="D1358" s="436"/>
      <c r="E1358" s="436"/>
      <c r="F1358" s="436"/>
      <c r="G1358" s="436"/>
      <c r="H1358" s="436"/>
    </row>
    <row r="1359" spans="1:10" s="446" customFormat="1" ht="12.75">
      <c r="A1359" s="455" t="s">
        <v>1146</v>
      </c>
      <c r="B1359" s="456" t="str">
        <f>+PRESUPUESTO!$B$70</f>
        <v>INSTALACIONES ELÉCTRICAS</v>
      </c>
      <c r="C1359" s="436"/>
      <c r="E1359" s="456"/>
      <c r="G1359" s="456" t="s">
        <v>1123</v>
      </c>
      <c r="H1359" s="483" t="s">
        <v>1192</v>
      </c>
      <c r="I1359" s="436"/>
      <c r="J1359" s="436"/>
    </row>
    <row r="1360" spans="1:10" s="931" customFormat="1" ht="52.15" customHeight="1">
      <c r="A1360" s="928" t="s">
        <v>1122</v>
      </c>
      <c r="B1360" s="1375" t="str">
        <f>VLOOKUP(H1359,PRESUPUESTO!$A$18:$F$251,2,FALSE)</f>
        <v>Suministro, Transporte e Instalacion Tablero TMB  4 ctos (TR) 2F, 4H, 208V de sobreponer, con barras de neutro y tierra independientes, con puerta y chapa.
Barras internas de cobre min 100A, 208V, Icc: 10 kA. + Neutro al 100% + Tierra según tabla 250-94 NTC 2050</v>
      </c>
      <c r="C1360" s="1375"/>
      <c r="D1360" s="1375"/>
      <c r="E1360" s="1375"/>
      <c r="F1360" s="1375"/>
      <c r="G1360" s="929" t="s">
        <v>9</v>
      </c>
      <c r="H1360" s="1024" t="str">
        <f>VLOOKUP(H1359,PRESUPUESTO!$A$18:$F$251,3,FALSE)</f>
        <v>un</v>
      </c>
    </row>
    <row r="1361" spans="1:9">
      <c r="A1361" s="456"/>
      <c r="B1361" s="456"/>
      <c r="C1361" s="436"/>
      <c r="D1361" s="456"/>
      <c r="E1361" s="456"/>
      <c r="F1361" s="456"/>
      <c r="G1361" s="456"/>
      <c r="H1361" s="436"/>
    </row>
    <row r="1362" spans="1:9" ht="15.75" thickBot="1">
      <c r="A1362" s="450" t="s">
        <v>79</v>
      </c>
      <c r="B1362" s="450"/>
      <c r="C1362" s="436"/>
      <c r="D1362" s="436"/>
      <c r="E1362" s="436"/>
      <c r="F1362" s="436"/>
      <c r="G1362" s="436"/>
      <c r="H1362" s="436"/>
    </row>
    <row r="1363" spans="1:9">
      <c r="A1363" s="1345" t="s">
        <v>80</v>
      </c>
      <c r="B1363" s="1346"/>
      <c r="C1363" s="1347"/>
      <c r="D1363" s="438" t="s">
        <v>81</v>
      </c>
      <c r="E1363" s="438" t="s">
        <v>82</v>
      </c>
      <c r="F1363" s="438" t="s">
        <v>83</v>
      </c>
      <c r="G1363" s="439" t="s">
        <v>84</v>
      </c>
      <c r="H1363" s="457"/>
    </row>
    <row r="1364" spans="1:9">
      <c r="A1364" s="1357" t="s">
        <v>471</v>
      </c>
      <c r="B1364" s="1358"/>
      <c r="C1364" s="1359"/>
      <c r="D1364" s="459" t="s">
        <v>268</v>
      </c>
      <c r="E1364" s="440">
        <f>+H1389</f>
        <v>78091</v>
      </c>
      <c r="F1364" s="440">
        <v>0.05</v>
      </c>
      <c r="G1364" s="432">
        <f>E1364*F1364</f>
        <v>3904.55</v>
      </c>
      <c r="H1364" s="460"/>
    </row>
    <row r="1365" spans="1:9" s="446" customFormat="1" ht="12.75">
      <c r="A1365" s="1376" t="s">
        <v>694</v>
      </c>
      <c r="B1365" s="1377"/>
      <c r="C1365" s="1378"/>
      <c r="D1365" s="777" t="s">
        <v>1084</v>
      </c>
      <c r="E1365" s="1011">
        <f>20570*1.19</f>
        <v>24478.3</v>
      </c>
      <c r="F1365" s="779">
        <f>+F1384</f>
        <v>3.5</v>
      </c>
      <c r="G1365" s="780">
        <f>+E1365/F1365</f>
        <v>6993.8</v>
      </c>
      <c r="H1365" s="776"/>
    </row>
    <row r="1366" spans="1:9" ht="15.75" thickBot="1">
      <c r="A1366" s="1342"/>
      <c r="B1366" s="1343"/>
      <c r="C1366" s="1344"/>
      <c r="D1366" s="464"/>
      <c r="E1366" s="433"/>
      <c r="F1366" s="434"/>
      <c r="G1366" s="441">
        <f>E1366*F1366</f>
        <v>0</v>
      </c>
      <c r="H1366" s="465"/>
    </row>
    <row r="1367" spans="1:9" ht="15.75" thickBot="1">
      <c r="A1367" s="436"/>
      <c r="B1367" s="436"/>
      <c r="C1367" s="436"/>
      <c r="D1367" s="436"/>
      <c r="E1367" s="436"/>
      <c r="F1367" s="436"/>
      <c r="G1367" s="437" t="s">
        <v>86</v>
      </c>
      <c r="H1367" s="466">
        <f>SUM(G1364:G1366)</f>
        <v>10898.35</v>
      </c>
    </row>
    <row r="1368" spans="1:9" ht="15.75" thickBot="1">
      <c r="A1368" s="450" t="s">
        <v>87</v>
      </c>
      <c r="B1368" s="450"/>
      <c r="C1368" s="436"/>
      <c r="D1368" s="436"/>
      <c r="E1368" s="436"/>
      <c r="F1368" s="436"/>
      <c r="G1368" s="436"/>
      <c r="H1368" s="436"/>
    </row>
    <row r="1369" spans="1:9">
      <c r="A1369" s="1345" t="s">
        <v>80</v>
      </c>
      <c r="B1369" s="1346"/>
      <c r="C1369" s="1347"/>
      <c r="D1369" s="438" t="s">
        <v>88</v>
      </c>
      <c r="E1369" s="438" t="s">
        <v>89</v>
      </c>
      <c r="F1369" s="438" t="s">
        <v>90</v>
      </c>
      <c r="G1369" s="439" t="s">
        <v>84</v>
      </c>
      <c r="H1369" s="457"/>
    </row>
    <row r="1370" spans="1:9" ht="15" customHeight="1">
      <c r="A1370" s="1383" t="s">
        <v>494</v>
      </c>
      <c r="B1370" s="1384"/>
      <c r="C1370" s="1385"/>
      <c r="D1370" s="1392" t="s">
        <v>268</v>
      </c>
      <c r="E1370" s="1394">
        <v>99128</v>
      </c>
      <c r="F1370" s="1379">
        <v>1</v>
      </c>
      <c r="G1370" s="1381">
        <f>E1370*F1370</f>
        <v>99128</v>
      </c>
      <c r="H1370" s="460"/>
      <c r="I1370" s="672"/>
    </row>
    <row r="1371" spans="1:9">
      <c r="A1371" s="1386"/>
      <c r="B1371" s="1387"/>
      <c r="C1371" s="1388"/>
      <c r="D1371" s="1393"/>
      <c r="E1371" s="1395"/>
      <c r="F1371" s="1380"/>
      <c r="G1371" s="1382"/>
      <c r="H1371" s="460"/>
    </row>
    <row r="1372" spans="1:9">
      <c r="A1372" s="1386"/>
      <c r="B1372" s="1387"/>
      <c r="C1372" s="1388"/>
      <c r="D1372" s="1393"/>
      <c r="E1372" s="1395"/>
      <c r="F1372" s="1380"/>
      <c r="G1372" s="1382"/>
      <c r="H1372" s="460"/>
    </row>
    <row r="1373" spans="1:9">
      <c r="A1373" s="1386"/>
      <c r="B1373" s="1387"/>
      <c r="C1373" s="1388"/>
      <c r="D1373" s="1393"/>
      <c r="E1373" s="1395"/>
      <c r="F1373" s="1380"/>
      <c r="G1373" s="1382"/>
      <c r="H1373" s="460"/>
    </row>
    <row r="1374" spans="1:9">
      <c r="A1374" s="1389"/>
      <c r="B1374" s="1390"/>
      <c r="C1374" s="1391"/>
      <c r="D1374" s="1393"/>
      <c r="E1374" s="1395"/>
      <c r="F1374" s="1380"/>
      <c r="G1374" s="1382"/>
      <c r="H1374" s="460"/>
    </row>
    <row r="1375" spans="1:9" ht="15.75" thickBot="1">
      <c r="A1375" s="472" t="s">
        <v>450</v>
      </c>
      <c r="B1375" s="473"/>
      <c r="C1375" s="474"/>
      <c r="D1375" s="459" t="s">
        <v>268</v>
      </c>
      <c r="E1375" s="440">
        <f>5800</f>
        <v>5800</v>
      </c>
      <c r="F1375" s="440">
        <v>2</v>
      </c>
      <c r="G1375" s="432">
        <f>E1375*F1375</f>
        <v>11600</v>
      </c>
      <c r="H1375" s="465"/>
    </row>
    <row r="1376" spans="1:9" ht="15.75" thickBot="1">
      <c r="A1376" s="436"/>
      <c r="B1376" s="436"/>
      <c r="C1376" s="436"/>
      <c r="D1376" s="436"/>
      <c r="E1376" s="436"/>
      <c r="F1376" s="436"/>
      <c r="G1376" s="437" t="s">
        <v>86</v>
      </c>
      <c r="H1376" s="466">
        <f>SUM(G1370:G1375)</f>
        <v>110728</v>
      </c>
    </row>
    <row r="1377" spans="1:10" ht="15.75" thickBot="1">
      <c r="A1377" s="450" t="s">
        <v>94</v>
      </c>
      <c r="B1377" s="450"/>
      <c r="C1377" s="436"/>
      <c r="D1377" s="436"/>
      <c r="E1377" s="436"/>
      <c r="F1377" s="436"/>
      <c r="G1377" s="436"/>
      <c r="H1377" s="436"/>
    </row>
    <row r="1378" spans="1:10">
      <c r="A1378" s="1345" t="s">
        <v>95</v>
      </c>
      <c r="B1378" s="1346"/>
      <c r="C1378" s="1347"/>
      <c r="D1378" s="438" t="s">
        <v>88</v>
      </c>
      <c r="E1378" s="438" t="s">
        <v>89</v>
      </c>
      <c r="F1378" s="438" t="s">
        <v>90</v>
      </c>
      <c r="G1378" s="439" t="s">
        <v>84</v>
      </c>
      <c r="H1378" s="457"/>
    </row>
    <row r="1379" spans="1:10">
      <c r="A1379" s="458" t="s">
        <v>673</v>
      </c>
      <c r="B1379" s="467"/>
      <c r="C1379" s="468"/>
      <c r="D1379" s="459" t="s">
        <v>668</v>
      </c>
      <c r="E1379" s="430">
        <v>165000</v>
      </c>
      <c r="F1379" s="440">
        <f>1/25</f>
        <v>0.04</v>
      </c>
      <c r="G1379" s="432">
        <f>E1379*F1379</f>
        <v>6600</v>
      </c>
      <c r="H1379" s="460"/>
    </row>
    <row r="1380" spans="1:10" ht="15.75" thickBot="1">
      <c r="A1380" s="458" t="s">
        <v>235</v>
      </c>
      <c r="B1380" s="467"/>
      <c r="C1380" s="468"/>
      <c r="D1380" s="459" t="s">
        <v>173</v>
      </c>
      <c r="E1380" s="430">
        <v>21500</v>
      </c>
      <c r="F1380" s="440">
        <f>1/15</f>
        <v>6.6666666666666666E-2</v>
      </c>
      <c r="G1380" s="432">
        <f>E1380*F1380</f>
        <v>1433.3333333333333</v>
      </c>
      <c r="H1380" s="460"/>
    </row>
    <row r="1381" spans="1:10" ht="15.75" thickBot="1">
      <c r="A1381" s="436"/>
      <c r="B1381" s="436"/>
      <c r="C1381" s="436"/>
      <c r="D1381" s="436"/>
      <c r="E1381" s="436"/>
      <c r="F1381" s="436"/>
      <c r="G1381" s="437" t="s">
        <v>86</v>
      </c>
      <c r="H1381" s="466">
        <f>SUM(G1379:G1380)</f>
        <v>8033.333333333333</v>
      </c>
      <c r="I1381" s="677"/>
    </row>
    <row r="1382" spans="1:10" ht="15.75" thickBot="1">
      <c r="A1382" s="450" t="s">
        <v>96</v>
      </c>
      <c r="B1382" s="450"/>
      <c r="C1382" s="436"/>
      <c r="D1382" s="436"/>
      <c r="E1382" s="436"/>
      <c r="F1382" s="436"/>
      <c r="G1382" s="436"/>
      <c r="H1382" s="436"/>
    </row>
    <row r="1383" spans="1:10">
      <c r="A1383" s="476" t="s">
        <v>97</v>
      </c>
      <c r="B1383" s="438"/>
      <c r="C1383" s="438" t="s">
        <v>98</v>
      </c>
      <c r="D1383" s="438" t="s">
        <v>99</v>
      </c>
      <c r="E1383" s="442" t="s">
        <v>100</v>
      </c>
      <c r="F1383" s="443" t="s">
        <v>83</v>
      </c>
      <c r="G1383" s="444" t="s">
        <v>84</v>
      </c>
      <c r="H1383" s="477"/>
    </row>
    <row r="1384" spans="1:10">
      <c r="A1384" s="478" t="s">
        <v>1109</v>
      </c>
      <c r="B1384" s="467"/>
      <c r="C1384" s="479">
        <f>+PERSONAL!$E$34</f>
        <v>100000</v>
      </c>
      <c r="D1384" s="480">
        <f>PERSONAL!$F$31</f>
        <v>1.7431000000000001</v>
      </c>
      <c r="E1384" s="440">
        <f>+D1384*C1384</f>
        <v>174310</v>
      </c>
      <c r="F1384" s="440">
        <v>3.5</v>
      </c>
      <c r="G1384" s="445">
        <f>ROUND(E1384/F1384,0)</f>
        <v>49803</v>
      </c>
      <c r="H1384" s="451"/>
    </row>
    <row r="1385" spans="1:10">
      <c r="A1385" s="478" t="s">
        <v>1110</v>
      </c>
      <c r="B1385" s="467"/>
      <c r="C1385" s="479">
        <f>+PERSONAL!$E$33</f>
        <v>56800</v>
      </c>
      <c r="D1385" s="480">
        <f>PERSONAL!$F$31</f>
        <v>1.7431000000000001</v>
      </c>
      <c r="E1385" s="440">
        <f>+D1385*C1385</f>
        <v>99008.08</v>
      </c>
      <c r="F1385" s="440">
        <f>+F1384</f>
        <v>3.5</v>
      </c>
      <c r="G1385" s="445">
        <f>ROUND(E1385/F1385,0)</f>
        <v>28288</v>
      </c>
      <c r="H1385" s="451"/>
    </row>
    <row r="1386" spans="1:10">
      <c r="A1386" s="478"/>
      <c r="B1386" s="468"/>
      <c r="C1386" s="430"/>
      <c r="D1386" s="459"/>
      <c r="E1386" s="430"/>
      <c r="F1386" s="440"/>
      <c r="G1386" s="445"/>
      <c r="H1386" s="451"/>
    </row>
    <row r="1387" spans="1:10">
      <c r="A1387" s="478"/>
      <c r="B1387" s="468"/>
      <c r="C1387" s="430"/>
      <c r="D1387" s="459"/>
      <c r="E1387" s="430"/>
      <c r="F1387" s="440"/>
      <c r="G1387" s="445"/>
      <c r="H1387" s="451"/>
    </row>
    <row r="1388" spans="1:10" ht="15.75" thickBot="1">
      <c r="A1388" s="481"/>
      <c r="B1388" s="474"/>
      <c r="C1388" s="474"/>
      <c r="D1388" s="474"/>
      <c r="E1388" s="474"/>
      <c r="F1388" s="474"/>
      <c r="G1388" s="482"/>
      <c r="H1388" s="482"/>
    </row>
    <row r="1389" spans="1:10" ht="15.75" thickBot="1">
      <c r="A1389" s="436"/>
      <c r="B1389" s="436"/>
      <c r="C1389" s="436"/>
      <c r="D1389" s="436"/>
      <c r="E1389" s="436"/>
      <c r="F1389" s="436"/>
      <c r="G1389" s="437" t="s">
        <v>86</v>
      </c>
      <c r="H1389" s="466">
        <f>SUM(G1384:G1388)</f>
        <v>78091</v>
      </c>
    </row>
    <row r="1390" spans="1:10" ht="15.75" thickBot="1">
      <c r="A1390" s="436"/>
      <c r="B1390" s="436"/>
      <c r="C1390" s="436"/>
      <c r="D1390" s="436"/>
      <c r="E1390" s="436"/>
      <c r="F1390" s="436"/>
      <c r="G1390" s="483"/>
      <c r="H1390" s="436"/>
    </row>
    <row r="1391" spans="1:10" ht="15.75" thickBot="1">
      <c r="A1391" s="436"/>
      <c r="B1391" s="436"/>
      <c r="C1391" s="436"/>
      <c r="D1391" s="436"/>
      <c r="E1391" s="484" t="s">
        <v>102</v>
      </c>
      <c r="F1391" s="485"/>
      <c r="G1391" s="485"/>
      <c r="H1391" s="466">
        <f>H1367+H1376+H1381+H1389</f>
        <v>207750.68333333335</v>
      </c>
      <c r="J1391" s="447"/>
    </row>
    <row r="1392" spans="1:10" ht="15.75" thickBot="1">
      <c r="A1392" s="450" t="s">
        <v>103</v>
      </c>
      <c r="B1392" s="450"/>
      <c r="C1392" s="436"/>
      <c r="D1392" s="436"/>
      <c r="E1392" s="436"/>
      <c r="F1392" s="436"/>
      <c r="G1392" s="436"/>
      <c r="H1392" s="436"/>
    </row>
    <row r="1393" spans="1:10">
      <c r="A1393" s="487" t="s">
        <v>80</v>
      </c>
      <c r="B1393" s="488"/>
      <c r="C1393" s="488"/>
      <c r="D1393" s="488"/>
      <c r="E1393" s="489"/>
      <c r="F1393" s="490" t="s">
        <v>104</v>
      </c>
      <c r="G1393" s="491" t="s">
        <v>105</v>
      </c>
      <c r="H1393" s="457"/>
    </row>
    <row r="1394" spans="1:10">
      <c r="A1394" s="469" t="s">
        <v>106</v>
      </c>
      <c r="B1394" s="467"/>
      <c r="C1394" s="467"/>
      <c r="D1394" s="467"/>
      <c r="E1394" s="468"/>
      <c r="F1394" s="492">
        <f>PRESUPUESTO!$E$222</f>
        <v>0.109</v>
      </c>
      <c r="G1394" s="493">
        <f>+F1394*H1391</f>
        <v>22644.824483333334</v>
      </c>
      <c r="H1394" s="460"/>
    </row>
    <row r="1395" spans="1:10">
      <c r="A1395" s="469" t="s">
        <v>107</v>
      </c>
      <c r="B1395" s="467"/>
      <c r="C1395" s="467"/>
      <c r="D1395" s="467"/>
      <c r="E1395" s="468"/>
      <c r="F1395" s="492">
        <f>PRESUPUESTO!$E$223</f>
        <v>0.05</v>
      </c>
      <c r="G1395" s="493">
        <f>+F1395*H1391</f>
        <v>10387.534166666668</v>
      </c>
      <c r="H1395" s="460"/>
    </row>
    <row r="1396" spans="1:10" ht="15.75" thickBot="1">
      <c r="A1396" s="472" t="s">
        <v>108</v>
      </c>
      <c r="B1396" s="473"/>
      <c r="C1396" s="473"/>
      <c r="D1396" s="473"/>
      <c r="E1396" s="474"/>
      <c r="F1396" s="494">
        <v>0</v>
      </c>
      <c r="G1396" s="495">
        <f>+F1396*H1391</f>
        <v>0</v>
      </c>
      <c r="H1396" s="465"/>
    </row>
    <row r="1397" spans="1:10" ht="15.75" thickBot="1">
      <c r="A1397" s="436"/>
      <c r="B1397" s="436"/>
      <c r="C1397" s="436"/>
      <c r="D1397" s="436"/>
      <c r="E1397" s="436"/>
      <c r="F1397" s="436"/>
      <c r="G1397" s="437" t="s">
        <v>86</v>
      </c>
      <c r="H1397" s="496">
        <f>SUM(G1394:G1396)</f>
        <v>33032.358650000002</v>
      </c>
    </row>
    <row r="1398" spans="1:10" ht="15.75" thickBot="1">
      <c r="A1398" s="436"/>
      <c r="B1398" s="436"/>
      <c r="C1398" s="436"/>
      <c r="D1398" s="436"/>
      <c r="E1398" s="436"/>
      <c r="F1398" s="436"/>
      <c r="G1398" s="436"/>
      <c r="H1398" s="436"/>
    </row>
    <row r="1399" spans="1:10" ht="15.75" thickBot="1">
      <c r="A1399" s="446"/>
      <c r="B1399" s="446"/>
      <c r="C1399" s="436"/>
      <c r="D1399" s="484" t="s">
        <v>109</v>
      </c>
      <c r="E1399" s="485"/>
      <c r="F1399" s="485"/>
      <c r="G1399" s="485"/>
      <c r="H1399" s="466">
        <f>ROUND((H1391+H1397),0)</f>
        <v>240783</v>
      </c>
    </row>
    <row r="1400" spans="1:10">
      <c r="A1400" s="446"/>
      <c r="B1400" s="446"/>
      <c r="C1400" s="446"/>
      <c r="D1400" s="446"/>
      <c r="E1400" s="446"/>
      <c r="F1400" s="446"/>
      <c r="G1400" s="446"/>
      <c r="H1400" s="446"/>
    </row>
    <row r="1401" spans="1:10">
      <c r="A1401" s="186" t="s">
        <v>77</v>
      </c>
      <c r="B1401" s="446"/>
      <c r="C1401" s="446"/>
      <c r="D1401" s="446"/>
      <c r="E1401" s="446"/>
      <c r="F1401" s="446"/>
      <c r="G1401" s="446"/>
      <c r="H1401" s="446"/>
    </row>
    <row r="1402" spans="1:10" ht="15.75" thickBot="1">
      <c r="A1402" s="446"/>
      <c r="B1402" s="446"/>
      <c r="C1402" s="446"/>
      <c r="D1402" s="446"/>
      <c r="E1402" s="446"/>
      <c r="F1402" s="446"/>
      <c r="G1402" s="446"/>
      <c r="H1402" s="446"/>
    </row>
    <row r="1403" spans="1:10">
      <c r="A1403" s="1348" t="s">
        <v>213</v>
      </c>
      <c r="B1403" s="1349"/>
      <c r="C1403" s="1350"/>
      <c r="D1403" s="448"/>
      <c r="E1403" s="448"/>
      <c r="F1403" s="448"/>
      <c r="G1403" s="448"/>
      <c r="H1403" s="449"/>
    </row>
    <row r="1404" spans="1:10">
      <c r="A1404" s="1351"/>
      <c r="B1404" s="1352"/>
      <c r="C1404" s="1353"/>
      <c r="D1404" s="436"/>
      <c r="E1404" s="450" t="s">
        <v>78</v>
      </c>
      <c r="F1404" s="436"/>
      <c r="G1404" s="436"/>
      <c r="H1404" s="451"/>
    </row>
    <row r="1405" spans="1:10" ht="15.75" thickBot="1">
      <c r="A1405" s="1354"/>
      <c r="B1405" s="1355"/>
      <c r="C1405" s="1356"/>
      <c r="D1405" s="1360"/>
      <c r="E1405" s="1361"/>
      <c r="F1405" s="1361"/>
      <c r="G1405" s="1361"/>
      <c r="H1405" s="1362"/>
    </row>
    <row r="1406" spans="1:10">
      <c r="A1406" s="455"/>
      <c r="B1406" s="436"/>
      <c r="C1406" s="436"/>
      <c r="D1406" s="436"/>
      <c r="E1406" s="436"/>
      <c r="F1406" s="436"/>
      <c r="G1406" s="436"/>
      <c r="H1406" s="436"/>
    </row>
    <row r="1407" spans="1:10" s="446" customFormat="1" ht="12.75">
      <c r="A1407" s="455" t="s">
        <v>1146</v>
      </c>
      <c r="B1407" s="456" t="str">
        <f>+PRESUPUESTO!$B$70</f>
        <v>INSTALACIONES ELÉCTRICAS</v>
      </c>
      <c r="C1407" s="436"/>
      <c r="E1407" s="456"/>
      <c r="G1407" s="456" t="s">
        <v>1123</v>
      </c>
      <c r="H1407" s="483" t="s">
        <v>1193</v>
      </c>
      <c r="I1407" s="436"/>
      <c r="J1407" s="436"/>
    </row>
    <row r="1408" spans="1:10" s="931" customFormat="1" ht="52.15" customHeight="1">
      <c r="A1408" s="928" t="s">
        <v>1122</v>
      </c>
      <c r="B1408" s="1375" t="str">
        <f>VLOOKUP(H1407,PRESUPUESTO!$A$18:$F$251,2,FALSE)</f>
        <v xml:space="preserve">Suministro, Transporte e Instalacion Breaker enchufable 1x20A, 10kA  </v>
      </c>
      <c r="C1408" s="1375"/>
      <c r="D1408" s="1375"/>
      <c r="E1408" s="1375"/>
      <c r="F1408" s="1375"/>
      <c r="G1408" s="929" t="s">
        <v>9</v>
      </c>
      <c r="H1408" s="1024" t="str">
        <f>VLOOKUP(H1407,PRESUPUESTO!$A$18:$F$251,3,FALSE)</f>
        <v>un</v>
      </c>
    </row>
    <row r="1409" spans="1:8">
      <c r="A1409" s="456"/>
      <c r="B1409" s="456"/>
      <c r="C1409" s="436"/>
      <c r="D1409" s="456"/>
      <c r="E1409" s="456"/>
      <c r="F1409" s="456"/>
      <c r="G1409" s="456"/>
      <c r="H1409" s="436"/>
    </row>
    <row r="1410" spans="1:8" ht="15.75" thickBot="1">
      <c r="A1410" s="450" t="s">
        <v>79</v>
      </c>
      <c r="B1410" s="450"/>
      <c r="C1410" s="436"/>
      <c r="D1410" s="436"/>
      <c r="E1410" s="436"/>
      <c r="F1410" s="436"/>
      <c r="G1410" s="436"/>
      <c r="H1410" s="436"/>
    </row>
    <row r="1411" spans="1:8">
      <c r="A1411" s="1345" t="s">
        <v>80</v>
      </c>
      <c r="B1411" s="1346"/>
      <c r="C1411" s="1347"/>
      <c r="D1411" s="438" t="s">
        <v>81</v>
      </c>
      <c r="E1411" s="438" t="s">
        <v>82</v>
      </c>
      <c r="F1411" s="438" t="s">
        <v>83</v>
      </c>
      <c r="G1411" s="439" t="s">
        <v>84</v>
      </c>
      <c r="H1411" s="457"/>
    </row>
    <row r="1412" spans="1:8">
      <c r="A1412" s="1357" t="s">
        <v>471</v>
      </c>
      <c r="B1412" s="1358"/>
      <c r="C1412" s="1359"/>
      <c r="D1412" s="459" t="s">
        <v>268</v>
      </c>
      <c r="E1412" s="440">
        <v>1000</v>
      </c>
      <c r="F1412" s="440">
        <v>1</v>
      </c>
      <c r="G1412" s="432">
        <f>E1412*F1412</f>
        <v>1000</v>
      </c>
      <c r="H1412" s="460"/>
    </row>
    <row r="1413" spans="1:8">
      <c r="A1413" s="1357"/>
      <c r="B1413" s="1358"/>
      <c r="C1413" s="1359"/>
      <c r="D1413" s="461"/>
      <c r="E1413" s="462"/>
      <c r="F1413" s="497"/>
      <c r="G1413" s="432">
        <f>E1413*F1413</f>
        <v>0</v>
      </c>
      <c r="H1413" s="460"/>
    </row>
    <row r="1414" spans="1:8" ht="15.75" thickBot="1">
      <c r="A1414" s="1342"/>
      <c r="B1414" s="1343"/>
      <c r="C1414" s="1344"/>
      <c r="D1414" s="464"/>
      <c r="E1414" s="433"/>
      <c r="F1414" s="434"/>
      <c r="G1414" s="441">
        <f>E1414*F1414</f>
        <v>0</v>
      </c>
      <c r="H1414" s="465"/>
    </row>
    <row r="1415" spans="1:8" ht="15.75" thickBot="1">
      <c r="A1415" s="436"/>
      <c r="B1415" s="436"/>
      <c r="C1415" s="436"/>
      <c r="D1415" s="436"/>
      <c r="E1415" s="436"/>
      <c r="F1415" s="436"/>
      <c r="G1415" s="437" t="s">
        <v>86</v>
      </c>
      <c r="H1415" s="466">
        <f>SUM(G1412:G1414)</f>
        <v>1000</v>
      </c>
    </row>
    <row r="1416" spans="1:8" ht="15.75" thickBot="1">
      <c r="A1416" s="450" t="s">
        <v>87</v>
      </c>
      <c r="B1416" s="450"/>
      <c r="C1416" s="436"/>
      <c r="D1416" s="436"/>
      <c r="E1416" s="436"/>
      <c r="F1416" s="436"/>
      <c r="G1416" s="436"/>
      <c r="H1416" s="436"/>
    </row>
    <row r="1417" spans="1:8">
      <c r="A1417" s="1345" t="s">
        <v>80</v>
      </c>
      <c r="B1417" s="1346"/>
      <c r="C1417" s="1347"/>
      <c r="D1417" s="438" t="s">
        <v>88</v>
      </c>
      <c r="E1417" s="438" t="s">
        <v>89</v>
      </c>
      <c r="F1417" s="438" t="s">
        <v>90</v>
      </c>
      <c r="G1417" s="439" t="s">
        <v>84</v>
      </c>
      <c r="H1417" s="457"/>
    </row>
    <row r="1418" spans="1:8">
      <c r="A1418" s="458" t="s">
        <v>451</v>
      </c>
      <c r="B1418" s="467"/>
      <c r="C1418" s="468"/>
      <c r="D1418" s="459" t="s">
        <v>268</v>
      </c>
      <c r="E1418" s="430">
        <v>24790</v>
      </c>
      <c r="F1418" s="440">
        <v>1</v>
      </c>
      <c r="G1418" s="432">
        <f>E1418*F1418</f>
        <v>24790</v>
      </c>
      <c r="H1418" s="460"/>
    </row>
    <row r="1419" spans="1:8">
      <c r="A1419" s="469"/>
      <c r="B1419" s="467"/>
      <c r="C1419" s="468"/>
      <c r="D1419" s="459"/>
      <c r="E1419" s="430"/>
      <c r="F1419" s="440"/>
      <c r="G1419" s="432">
        <f>E1419*F1419</f>
        <v>0</v>
      </c>
      <c r="H1419" s="460"/>
    </row>
    <row r="1420" spans="1:8">
      <c r="A1420" s="469"/>
      <c r="B1420" s="467"/>
      <c r="C1420" s="471"/>
      <c r="D1420" s="459"/>
      <c r="E1420" s="430"/>
      <c r="F1420" s="440"/>
      <c r="G1420" s="432">
        <f>E1420*F1420</f>
        <v>0</v>
      </c>
      <c r="H1420" s="460"/>
    </row>
    <row r="1421" spans="1:8">
      <c r="A1421" s="469"/>
      <c r="B1421" s="467"/>
      <c r="C1421" s="468"/>
      <c r="D1421" s="459"/>
      <c r="E1421" s="430"/>
      <c r="F1421" s="431"/>
      <c r="G1421" s="432"/>
      <c r="H1421" s="460"/>
    </row>
    <row r="1422" spans="1:8">
      <c r="A1422" s="469"/>
      <c r="B1422" s="467"/>
      <c r="C1422" s="468"/>
      <c r="D1422" s="459"/>
      <c r="E1422" s="430"/>
      <c r="F1422" s="431"/>
      <c r="G1422" s="432"/>
      <c r="H1422" s="460"/>
    </row>
    <row r="1423" spans="1:8" ht="15.75" thickBot="1">
      <c r="A1423" s="472"/>
      <c r="B1423" s="473"/>
      <c r="C1423" s="474"/>
      <c r="D1423" s="464"/>
      <c r="E1423" s="433"/>
      <c r="F1423" s="434"/>
      <c r="G1423" s="435"/>
      <c r="H1423" s="465"/>
    </row>
    <row r="1424" spans="1:8" ht="15.75" thickBot="1">
      <c r="A1424" s="436"/>
      <c r="B1424" s="436"/>
      <c r="C1424" s="436"/>
      <c r="D1424" s="436"/>
      <c r="E1424" s="436"/>
      <c r="F1424" s="436"/>
      <c r="G1424" s="437" t="s">
        <v>86</v>
      </c>
      <c r="H1424" s="466">
        <f>SUM(G1418:G1423)</f>
        <v>24790</v>
      </c>
    </row>
    <row r="1425" spans="1:10" ht="15.75" thickBot="1">
      <c r="A1425" s="450" t="s">
        <v>94</v>
      </c>
      <c r="B1425" s="450"/>
      <c r="C1425" s="436"/>
      <c r="D1425" s="436"/>
      <c r="E1425" s="436"/>
      <c r="F1425" s="436"/>
      <c r="G1425" s="436"/>
      <c r="H1425" s="436"/>
    </row>
    <row r="1426" spans="1:10">
      <c r="A1426" s="1345" t="s">
        <v>95</v>
      </c>
      <c r="B1426" s="1346"/>
      <c r="C1426" s="1347"/>
      <c r="D1426" s="438" t="s">
        <v>88</v>
      </c>
      <c r="E1426" s="438" t="s">
        <v>89</v>
      </c>
      <c r="F1426" s="438" t="s">
        <v>90</v>
      </c>
      <c r="G1426" s="439" t="s">
        <v>84</v>
      </c>
      <c r="H1426" s="457"/>
    </row>
    <row r="1427" spans="1:10">
      <c r="A1427" s="458" t="s">
        <v>235</v>
      </c>
      <c r="B1427" s="467"/>
      <c r="C1427" s="468"/>
      <c r="D1427" s="459" t="s">
        <v>271</v>
      </c>
      <c r="E1427" s="430">
        <v>1800</v>
      </c>
      <c r="F1427" s="440">
        <v>1</v>
      </c>
      <c r="G1427" s="432">
        <f>E1427*F1427</f>
        <v>1800</v>
      </c>
      <c r="H1427" s="460"/>
    </row>
    <row r="1428" spans="1:10" ht="15.75" thickBot="1">
      <c r="A1428" s="1342"/>
      <c r="B1428" s="1343"/>
      <c r="C1428" s="1344"/>
      <c r="D1428" s="475"/>
      <c r="E1428" s="433"/>
      <c r="F1428" s="434"/>
      <c r="G1428" s="441"/>
      <c r="H1428" s="460"/>
    </row>
    <row r="1429" spans="1:10" ht="15.75" thickBot="1">
      <c r="A1429" s="436"/>
      <c r="B1429" s="436"/>
      <c r="C1429" s="436"/>
      <c r="D1429" s="436"/>
      <c r="E1429" s="436"/>
      <c r="F1429" s="436"/>
      <c r="G1429" s="437" t="s">
        <v>86</v>
      </c>
      <c r="H1429" s="466">
        <f>SUM(G1427:G1428)</f>
        <v>1800</v>
      </c>
    </row>
    <row r="1430" spans="1:10" ht="15.75" thickBot="1">
      <c r="A1430" s="450" t="s">
        <v>96</v>
      </c>
      <c r="B1430" s="450"/>
      <c r="C1430" s="436"/>
      <c r="D1430" s="436"/>
      <c r="E1430" s="436"/>
      <c r="F1430" s="436"/>
      <c r="G1430" s="436"/>
      <c r="H1430" s="436"/>
    </row>
    <row r="1431" spans="1:10">
      <c r="A1431" s="476" t="s">
        <v>97</v>
      </c>
      <c r="B1431" s="438"/>
      <c r="C1431" s="438" t="s">
        <v>98</v>
      </c>
      <c r="D1431" s="438" t="s">
        <v>99</v>
      </c>
      <c r="E1431" s="442" t="s">
        <v>100</v>
      </c>
      <c r="F1431" s="443" t="s">
        <v>83</v>
      </c>
      <c r="G1431" s="444" t="s">
        <v>84</v>
      </c>
      <c r="H1431" s="477"/>
    </row>
    <row r="1432" spans="1:10">
      <c r="A1432" s="478" t="s">
        <v>101</v>
      </c>
      <c r="B1432" s="467"/>
      <c r="C1432" s="479">
        <f>PERSONAL!$E$32</f>
        <v>87200</v>
      </c>
      <c r="D1432" s="480">
        <f>PERSONAL!$F$31</f>
        <v>1.7431000000000001</v>
      </c>
      <c r="E1432" s="440">
        <f>+D1432*C1432</f>
        <v>151998.32</v>
      </c>
      <c r="F1432" s="440">
        <v>15</v>
      </c>
      <c r="G1432" s="445">
        <f>ROUND(E1432/F1432,0)</f>
        <v>10133</v>
      </c>
      <c r="H1432" s="451"/>
    </row>
    <row r="1433" spans="1:10">
      <c r="A1433" s="478"/>
      <c r="B1433" s="467"/>
      <c r="C1433" s="479"/>
      <c r="D1433" s="480"/>
      <c r="E1433" s="440"/>
      <c r="F1433" s="440"/>
      <c r="G1433" s="445"/>
      <c r="H1433" s="451"/>
    </row>
    <row r="1434" spans="1:10">
      <c r="A1434" s="478"/>
      <c r="B1434" s="468"/>
      <c r="C1434" s="430"/>
      <c r="D1434" s="459"/>
      <c r="E1434" s="430"/>
      <c r="F1434" s="440"/>
      <c r="G1434" s="445"/>
      <c r="H1434" s="451"/>
    </row>
    <row r="1435" spans="1:10">
      <c r="A1435" s="478"/>
      <c r="B1435" s="468"/>
      <c r="C1435" s="430"/>
      <c r="D1435" s="459"/>
      <c r="E1435" s="430"/>
      <c r="F1435" s="440"/>
      <c r="G1435" s="445"/>
      <c r="H1435" s="451"/>
    </row>
    <row r="1436" spans="1:10" ht="15.75" thickBot="1">
      <c r="A1436" s="481"/>
      <c r="B1436" s="474"/>
      <c r="C1436" s="474"/>
      <c r="D1436" s="474"/>
      <c r="E1436" s="474"/>
      <c r="F1436" s="474"/>
      <c r="G1436" s="482"/>
      <c r="H1436" s="482"/>
    </row>
    <row r="1437" spans="1:10" ht="15.75" thickBot="1">
      <c r="A1437" s="436"/>
      <c r="B1437" s="436"/>
      <c r="C1437" s="436"/>
      <c r="D1437" s="436"/>
      <c r="E1437" s="436"/>
      <c r="F1437" s="436"/>
      <c r="G1437" s="437" t="s">
        <v>86</v>
      </c>
      <c r="H1437" s="466">
        <f>SUM(G1432:G1436)</f>
        <v>10133</v>
      </c>
    </row>
    <row r="1438" spans="1:10" ht="15.75" thickBot="1">
      <c r="A1438" s="436"/>
      <c r="B1438" s="436"/>
      <c r="C1438" s="436"/>
      <c r="D1438" s="436"/>
      <c r="E1438" s="436"/>
      <c r="F1438" s="436"/>
      <c r="G1438" s="483"/>
      <c r="H1438" s="436"/>
    </row>
    <row r="1439" spans="1:10" ht="15.75" thickBot="1">
      <c r="A1439" s="436"/>
      <c r="B1439" s="436"/>
      <c r="C1439" s="436"/>
      <c r="D1439" s="436"/>
      <c r="E1439" s="484" t="s">
        <v>102</v>
      </c>
      <c r="F1439" s="485"/>
      <c r="G1439" s="485"/>
      <c r="H1439" s="466">
        <f>H1415+H1424+H1429+H1437</f>
        <v>37723</v>
      </c>
      <c r="J1439" s="447"/>
    </row>
    <row r="1440" spans="1:10" ht="15.75" thickBot="1">
      <c r="A1440" s="450" t="s">
        <v>103</v>
      </c>
      <c r="B1440" s="450"/>
      <c r="C1440" s="436"/>
      <c r="D1440" s="436"/>
      <c r="E1440" s="436"/>
      <c r="F1440" s="436"/>
      <c r="G1440" s="436"/>
      <c r="H1440" s="436"/>
    </row>
    <row r="1441" spans="1:10">
      <c r="A1441" s="487" t="s">
        <v>80</v>
      </c>
      <c r="B1441" s="488"/>
      <c r="C1441" s="488"/>
      <c r="D1441" s="488"/>
      <c r="E1441" s="489"/>
      <c r="F1441" s="490" t="s">
        <v>104</v>
      </c>
      <c r="G1441" s="491" t="s">
        <v>105</v>
      </c>
      <c r="H1441" s="457"/>
    </row>
    <row r="1442" spans="1:10">
      <c r="A1442" s="469" t="s">
        <v>106</v>
      </c>
      <c r="B1442" s="467"/>
      <c r="C1442" s="467"/>
      <c r="D1442" s="467"/>
      <c r="E1442" s="468"/>
      <c r="F1442" s="492">
        <f>PRESUPUESTO!$E$222</f>
        <v>0.109</v>
      </c>
      <c r="G1442" s="493">
        <f>+F1442*H1439</f>
        <v>4111.8069999999998</v>
      </c>
      <c r="H1442" s="460"/>
    </row>
    <row r="1443" spans="1:10">
      <c r="A1443" s="469" t="s">
        <v>107</v>
      </c>
      <c r="B1443" s="467"/>
      <c r="C1443" s="467"/>
      <c r="D1443" s="467"/>
      <c r="E1443" s="468"/>
      <c r="F1443" s="492">
        <f>PRESUPUESTO!$E$223</f>
        <v>0.05</v>
      </c>
      <c r="G1443" s="493">
        <f>+F1443*H1439</f>
        <v>1886.15</v>
      </c>
      <c r="H1443" s="460"/>
    </row>
    <row r="1444" spans="1:10" ht="15.75" thickBot="1">
      <c r="A1444" s="472" t="s">
        <v>108</v>
      </c>
      <c r="B1444" s="473"/>
      <c r="C1444" s="473"/>
      <c r="D1444" s="473"/>
      <c r="E1444" s="474"/>
      <c r="F1444" s="494">
        <v>0</v>
      </c>
      <c r="G1444" s="495">
        <f>+F1444*H1439</f>
        <v>0</v>
      </c>
      <c r="H1444" s="465"/>
    </row>
    <row r="1445" spans="1:10" ht="15.75" thickBot="1">
      <c r="A1445" s="436"/>
      <c r="B1445" s="436"/>
      <c r="C1445" s="436"/>
      <c r="D1445" s="436"/>
      <c r="E1445" s="436"/>
      <c r="F1445" s="436"/>
      <c r="G1445" s="437" t="s">
        <v>86</v>
      </c>
      <c r="H1445" s="496">
        <f>SUM(G1442:G1444)</f>
        <v>5997.9570000000003</v>
      </c>
    </row>
    <row r="1446" spans="1:10" ht="15.75" thickBot="1">
      <c r="A1446" s="436"/>
      <c r="B1446" s="436"/>
      <c r="C1446" s="436"/>
      <c r="D1446" s="436"/>
      <c r="E1446" s="436"/>
      <c r="F1446" s="436"/>
      <c r="G1446" s="436"/>
      <c r="H1446" s="436"/>
    </row>
    <row r="1447" spans="1:10" ht="15.75" thickBot="1">
      <c r="A1447" s="446"/>
      <c r="B1447" s="446"/>
      <c r="C1447" s="436"/>
      <c r="D1447" s="484" t="s">
        <v>109</v>
      </c>
      <c r="E1447" s="485"/>
      <c r="F1447" s="485"/>
      <c r="G1447" s="485"/>
      <c r="H1447" s="466">
        <f>ROUND((H1439+H1445),0)</f>
        <v>43721</v>
      </c>
    </row>
    <row r="1449" spans="1:10">
      <c r="A1449" s="186" t="s">
        <v>77</v>
      </c>
      <c r="B1449" s="446"/>
      <c r="C1449" s="446"/>
      <c r="D1449" s="446"/>
      <c r="E1449" s="446"/>
      <c r="F1449" s="446"/>
      <c r="G1449" s="446"/>
      <c r="H1449" s="446"/>
    </row>
    <row r="1450" spans="1:10" ht="15.75" thickBot="1">
      <c r="A1450" s="446"/>
      <c r="B1450" s="446"/>
      <c r="C1450" s="446"/>
      <c r="D1450" s="446"/>
      <c r="E1450" s="446"/>
      <c r="F1450" s="446"/>
      <c r="G1450" s="446"/>
      <c r="H1450" s="446"/>
    </row>
    <row r="1451" spans="1:10">
      <c r="A1451" s="1348" t="s">
        <v>213</v>
      </c>
      <c r="B1451" s="1349"/>
      <c r="C1451" s="1350"/>
      <c r="D1451" s="448"/>
      <c r="E1451" s="448"/>
      <c r="F1451" s="448"/>
      <c r="G1451" s="448"/>
      <c r="H1451" s="449"/>
    </row>
    <row r="1452" spans="1:10">
      <c r="A1452" s="1351"/>
      <c r="B1452" s="1352"/>
      <c r="C1452" s="1353"/>
      <c r="D1452" s="436"/>
      <c r="E1452" s="450" t="s">
        <v>78</v>
      </c>
      <c r="F1452" s="436"/>
      <c r="G1452" s="436"/>
      <c r="H1452" s="451"/>
    </row>
    <row r="1453" spans="1:10" ht="15.75" thickBot="1">
      <c r="A1453" s="1354"/>
      <c r="B1453" s="1355"/>
      <c r="C1453" s="1356"/>
      <c r="D1453" s="1360"/>
      <c r="E1453" s="1361"/>
      <c r="F1453" s="1361"/>
      <c r="G1453" s="1361"/>
      <c r="H1453" s="1362"/>
    </row>
    <row r="1454" spans="1:10">
      <c r="A1454" s="455"/>
      <c r="B1454" s="436"/>
      <c r="C1454" s="436"/>
      <c r="D1454" s="436"/>
      <c r="E1454" s="436"/>
      <c r="F1454" s="436"/>
      <c r="G1454" s="436"/>
      <c r="H1454" s="436"/>
    </row>
    <row r="1455" spans="1:10" s="446" customFormat="1" ht="12.75">
      <c r="A1455" s="455" t="s">
        <v>1146</v>
      </c>
      <c r="B1455" s="456" t="str">
        <f>+PRESUPUESTO!$B$70</f>
        <v>INSTALACIONES ELÉCTRICAS</v>
      </c>
      <c r="C1455" s="436"/>
      <c r="E1455" s="456"/>
      <c r="G1455" s="456" t="s">
        <v>1123</v>
      </c>
      <c r="H1455" s="483" t="s">
        <v>1194</v>
      </c>
      <c r="I1455" s="436"/>
      <c r="J1455" s="436"/>
    </row>
    <row r="1456" spans="1:10" s="931" customFormat="1" ht="52.15" customHeight="1">
      <c r="A1456" s="928" t="s">
        <v>1122</v>
      </c>
      <c r="B1456" s="1375" t="str">
        <f>VLOOKUP(H1455,PRESUPUESTO!$A$18:$F$251,2,FALSE)</f>
        <v>Suministro, Transporte e Instalacion Circuitos ramales en baja tensión, 120V en 1No12 (F)  + 1No12(N) + 1No12 (T) cable de cobre AWG - THWN - THHN, por tubería y/o canaleta, para salidas eléctricas.</v>
      </c>
      <c r="C1456" s="1375"/>
      <c r="D1456" s="1375"/>
      <c r="E1456" s="1375"/>
      <c r="F1456" s="1375"/>
      <c r="G1456" s="929" t="s">
        <v>9</v>
      </c>
      <c r="H1456" s="1024" t="str">
        <f>VLOOKUP(H1455,PRESUPUESTO!$A$18:$F$251,3,FALSE)</f>
        <v>ml</v>
      </c>
    </row>
    <row r="1457" spans="1:11">
      <c r="A1457" s="456"/>
      <c r="B1457" s="456"/>
      <c r="C1457" s="436"/>
      <c r="D1457" s="456"/>
      <c r="E1457" s="456"/>
      <c r="F1457" s="456"/>
      <c r="G1457" s="456"/>
      <c r="H1457" s="436"/>
    </row>
    <row r="1458" spans="1:11" ht="15.75" thickBot="1">
      <c r="A1458" s="450" t="s">
        <v>79</v>
      </c>
      <c r="B1458" s="450"/>
      <c r="C1458" s="436"/>
      <c r="D1458" s="436"/>
      <c r="E1458" s="436"/>
      <c r="F1458" s="436"/>
      <c r="G1458" s="436"/>
      <c r="H1458" s="436"/>
    </row>
    <row r="1459" spans="1:11">
      <c r="A1459" s="1345" t="s">
        <v>80</v>
      </c>
      <c r="B1459" s="1346"/>
      <c r="C1459" s="1347"/>
      <c r="D1459" s="438" t="s">
        <v>81</v>
      </c>
      <c r="E1459" s="438" t="s">
        <v>82</v>
      </c>
      <c r="F1459" s="438" t="s">
        <v>83</v>
      </c>
      <c r="G1459" s="439" t="s">
        <v>84</v>
      </c>
      <c r="H1459" s="457"/>
    </row>
    <row r="1460" spans="1:11">
      <c r="A1460" s="1357" t="s">
        <v>471</v>
      </c>
      <c r="B1460" s="1358"/>
      <c r="C1460" s="1359"/>
      <c r="D1460" s="459" t="s">
        <v>268</v>
      </c>
      <c r="E1460" s="440">
        <v>1000</v>
      </c>
      <c r="F1460" s="440">
        <v>1</v>
      </c>
      <c r="G1460" s="432">
        <f>E1460*F1460</f>
        <v>1000</v>
      </c>
      <c r="H1460" s="460"/>
    </row>
    <row r="1461" spans="1:11">
      <c r="A1461" s="1357"/>
      <c r="B1461" s="1358"/>
      <c r="C1461" s="1359"/>
      <c r="D1461" s="461"/>
      <c r="E1461" s="462"/>
      <c r="F1461" s="497"/>
      <c r="G1461" s="432">
        <f>E1461*F1461</f>
        <v>0</v>
      </c>
      <c r="H1461" s="460"/>
    </row>
    <row r="1462" spans="1:11" ht="15.75" thickBot="1">
      <c r="A1462" s="1342"/>
      <c r="B1462" s="1343"/>
      <c r="C1462" s="1344"/>
      <c r="D1462" s="464"/>
      <c r="E1462" s="433"/>
      <c r="F1462" s="434"/>
      <c r="G1462" s="441">
        <f>E1462*F1462</f>
        <v>0</v>
      </c>
      <c r="H1462" s="465"/>
    </row>
    <row r="1463" spans="1:11" ht="15.75" thickBot="1">
      <c r="A1463" s="436"/>
      <c r="B1463" s="436"/>
      <c r="C1463" s="436"/>
      <c r="D1463" s="436"/>
      <c r="E1463" s="436"/>
      <c r="F1463" s="436"/>
      <c r="G1463" s="437" t="s">
        <v>86</v>
      </c>
      <c r="H1463" s="466">
        <f>SUM(G1460:G1462)</f>
        <v>1000</v>
      </c>
    </row>
    <row r="1464" spans="1:11" ht="15.75" thickBot="1">
      <c r="A1464" s="450" t="s">
        <v>87</v>
      </c>
      <c r="B1464" s="450"/>
      <c r="C1464" s="436"/>
      <c r="D1464" s="436"/>
      <c r="E1464" s="436"/>
      <c r="F1464" s="436"/>
      <c r="G1464" s="436"/>
      <c r="H1464" s="436"/>
    </row>
    <row r="1465" spans="1:11">
      <c r="A1465" s="1345" t="s">
        <v>80</v>
      </c>
      <c r="B1465" s="1346"/>
      <c r="C1465" s="1347"/>
      <c r="D1465" s="438" t="s">
        <v>88</v>
      </c>
      <c r="E1465" s="438" t="s">
        <v>89</v>
      </c>
      <c r="F1465" s="438" t="s">
        <v>90</v>
      </c>
      <c r="G1465" s="439" t="s">
        <v>84</v>
      </c>
      <c r="H1465" s="457"/>
    </row>
    <row r="1466" spans="1:11">
      <c r="A1466" s="458" t="s">
        <v>495</v>
      </c>
      <c r="B1466" s="467"/>
      <c r="C1466" s="468"/>
      <c r="D1466" s="459" t="s">
        <v>268</v>
      </c>
      <c r="E1466" s="1013">
        <f>2723*1.19</f>
        <v>3240.37</v>
      </c>
      <c r="F1466" s="440">
        <f>3*1.05</f>
        <v>3.1500000000000004</v>
      </c>
      <c r="G1466" s="432">
        <f>E1466*F1466</f>
        <v>10207.165500000001</v>
      </c>
      <c r="H1466" s="460"/>
      <c r="K1466" s="679"/>
    </row>
    <row r="1467" spans="1:11">
      <c r="A1467" s="469" t="s">
        <v>1112</v>
      </c>
      <c r="B1467" s="467"/>
      <c r="C1467" s="468"/>
      <c r="D1467" s="459" t="s">
        <v>268</v>
      </c>
      <c r="E1467" s="1014">
        <v>39900</v>
      </c>
      <c r="F1467" s="440">
        <f>1/150</f>
        <v>6.6666666666666671E-3</v>
      </c>
      <c r="G1467" s="432">
        <f>F1467*E1467</f>
        <v>266</v>
      </c>
      <c r="H1467" s="460"/>
    </row>
    <row r="1468" spans="1:11">
      <c r="A1468" s="469" t="s">
        <v>1113</v>
      </c>
      <c r="B1468" s="467"/>
      <c r="C1468" s="468"/>
      <c r="D1468" s="459" t="s">
        <v>268</v>
      </c>
      <c r="E1468" s="1014">
        <v>9000</v>
      </c>
      <c r="F1468" s="431">
        <f>1/100</f>
        <v>0.01</v>
      </c>
      <c r="G1468" s="432">
        <f>F1468*E1468</f>
        <v>90</v>
      </c>
      <c r="H1468" s="460"/>
    </row>
    <row r="1469" spans="1:11" ht="15.75" thickBot="1">
      <c r="A1469" s="472"/>
      <c r="B1469" s="473"/>
      <c r="C1469" s="474"/>
      <c r="D1469" s="464"/>
      <c r="E1469" s="433"/>
      <c r="F1469" s="434"/>
      <c r="G1469" s="435"/>
      <c r="H1469" s="465"/>
    </row>
    <row r="1470" spans="1:11" ht="15.75" thickBot="1">
      <c r="A1470" s="436"/>
      <c r="B1470" s="436"/>
      <c r="C1470" s="436"/>
      <c r="D1470" s="436"/>
      <c r="E1470" s="436"/>
      <c r="F1470" s="436"/>
      <c r="G1470" s="437" t="s">
        <v>86</v>
      </c>
      <c r="H1470" s="466">
        <f>SUM(G1465:G1469)</f>
        <v>10563.165500000001</v>
      </c>
    </row>
    <row r="1471" spans="1:11" ht="15.75" thickBot="1">
      <c r="A1471" s="450" t="s">
        <v>94</v>
      </c>
      <c r="B1471" s="450"/>
      <c r="C1471" s="436"/>
      <c r="D1471" s="436"/>
      <c r="E1471" s="436"/>
      <c r="F1471" s="436"/>
      <c r="G1471" s="436"/>
      <c r="H1471" s="436"/>
    </row>
    <row r="1472" spans="1:11">
      <c r="A1472" s="1345" t="s">
        <v>95</v>
      </c>
      <c r="B1472" s="1346"/>
      <c r="C1472" s="1347"/>
      <c r="D1472" s="438" t="s">
        <v>88</v>
      </c>
      <c r="E1472" s="438" t="s">
        <v>89</v>
      </c>
      <c r="F1472" s="438" t="s">
        <v>90</v>
      </c>
      <c r="G1472" s="439" t="s">
        <v>84</v>
      </c>
      <c r="H1472" s="457"/>
    </row>
    <row r="1473" spans="1:15">
      <c r="A1473" s="458" t="s">
        <v>673</v>
      </c>
      <c r="B1473" s="467"/>
      <c r="C1473" s="468"/>
      <c r="D1473" s="459" t="s">
        <v>668</v>
      </c>
      <c r="E1473" s="430">
        <v>165000</v>
      </c>
      <c r="F1473" s="440">
        <f>1/120</f>
        <v>8.3333333333333332E-3</v>
      </c>
      <c r="G1473" s="432">
        <f>E1473*F1473</f>
        <v>1375</v>
      </c>
      <c r="H1473" s="460"/>
    </row>
    <row r="1474" spans="1:15" ht="15.75" thickBot="1">
      <c r="A1474" s="458" t="s">
        <v>235</v>
      </c>
      <c r="B1474" s="467"/>
      <c r="C1474" s="468"/>
      <c r="D1474" s="459" t="s">
        <v>173</v>
      </c>
      <c r="E1474" s="430">
        <v>21500</v>
      </c>
      <c r="F1474" s="440">
        <f>1/50</f>
        <v>0.02</v>
      </c>
      <c r="G1474" s="432">
        <f>E1474*F1474</f>
        <v>430</v>
      </c>
      <c r="H1474" s="460"/>
    </row>
    <row r="1475" spans="1:15" ht="15.75" thickBot="1">
      <c r="A1475" s="436"/>
      <c r="B1475" s="436"/>
      <c r="C1475" s="436"/>
      <c r="D1475" s="436"/>
      <c r="E1475" s="436"/>
      <c r="F1475" s="436"/>
      <c r="G1475" s="437" t="s">
        <v>86</v>
      </c>
      <c r="H1475" s="466">
        <f>SUM(G1473:G1474)</f>
        <v>1805</v>
      </c>
      <c r="I1475" s="676"/>
    </row>
    <row r="1476" spans="1:15" ht="15.75" thickBot="1">
      <c r="A1476" s="450" t="s">
        <v>96</v>
      </c>
      <c r="B1476" s="450"/>
      <c r="C1476" s="436"/>
      <c r="D1476" s="436"/>
      <c r="E1476" s="436"/>
      <c r="F1476" s="436"/>
      <c r="G1476" s="436"/>
      <c r="H1476" s="436"/>
    </row>
    <row r="1477" spans="1:15">
      <c r="A1477" s="476" t="s">
        <v>97</v>
      </c>
      <c r="B1477" s="438"/>
      <c r="C1477" s="438" t="s">
        <v>98</v>
      </c>
      <c r="D1477" s="438" t="s">
        <v>99</v>
      </c>
      <c r="E1477" s="442" t="s">
        <v>100</v>
      </c>
      <c r="F1477" s="443" t="s">
        <v>83</v>
      </c>
      <c r="G1477" s="444" t="s">
        <v>84</v>
      </c>
      <c r="H1477" s="477"/>
      <c r="K1477" s="1412" t="s">
        <v>1119</v>
      </c>
      <c r="L1477" s="1412"/>
      <c r="M1477" s="1412"/>
      <c r="N1477" s="1412"/>
      <c r="O1477" s="1412"/>
    </row>
    <row r="1478" spans="1:15">
      <c r="A1478" s="478" t="s">
        <v>1109</v>
      </c>
      <c r="B1478" s="467"/>
      <c r="C1478" s="479">
        <f>+PERSONAL!$E$34</f>
        <v>100000</v>
      </c>
      <c r="D1478" s="480">
        <f>PERSONAL!$F$31</f>
        <v>1.7431000000000001</v>
      </c>
      <c r="E1478" s="440">
        <f>+D1478*C1478</f>
        <v>174310</v>
      </c>
      <c r="F1478" s="440">
        <v>40</v>
      </c>
      <c r="G1478" s="445">
        <f>ROUND(E1478/F1478,0)</f>
        <v>4358</v>
      </c>
      <c r="H1478" s="451"/>
    </row>
    <row r="1479" spans="1:15">
      <c r="A1479" s="478" t="s">
        <v>1110</v>
      </c>
      <c r="B1479" s="467"/>
      <c r="C1479" s="479">
        <f>+PERSONAL!$E$33</f>
        <v>56800</v>
      </c>
      <c r="D1479" s="480">
        <f>PERSONAL!$F$31</f>
        <v>1.7431000000000001</v>
      </c>
      <c r="E1479" s="440">
        <f>+D1479*C1479</f>
        <v>99008.08</v>
      </c>
      <c r="F1479" s="440">
        <f>+F1478</f>
        <v>40</v>
      </c>
      <c r="G1479" s="445">
        <f>ROUND(E1479/F1479,0)</f>
        <v>2475</v>
      </c>
      <c r="H1479" s="451"/>
    </row>
    <row r="1480" spans="1:15">
      <c r="A1480" s="478"/>
      <c r="B1480" s="468"/>
      <c r="C1480" s="430"/>
      <c r="D1480" s="459"/>
      <c r="E1480" s="430"/>
      <c r="F1480" s="440"/>
      <c r="G1480" s="445"/>
      <c r="H1480" s="451"/>
    </row>
    <row r="1481" spans="1:15" ht="15.75" thickBot="1">
      <c r="A1481" s="481"/>
      <c r="B1481" s="474"/>
      <c r="C1481" s="474"/>
      <c r="D1481" s="474"/>
      <c r="E1481" s="474"/>
      <c r="F1481" s="474"/>
      <c r="G1481" s="482"/>
      <c r="H1481" s="482"/>
    </row>
    <row r="1482" spans="1:15" ht="15.75" thickBot="1">
      <c r="A1482" s="436"/>
      <c r="B1482" s="436"/>
      <c r="C1482" s="436"/>
      <c r="D1482" s="436"/>
      <c r="E1482" s="436"/>
      <c r="F1482" s="436"/>
      <c r="G1482" s="437" t="s">
        <v>86</v>
      </c>
      <c r="H1482" s="466">
        <f>SUM(G1478:G1481)</f>
        <v>6833</v>
      </c>
      <c r="I1482" s="677"/>
    </row>
    <row r="1483" spans="1:15" ht="15.75" thickBot="1">
      <c r="A1483" s="436"/>
      <c r="B1483" s="436"/>
      <c r="C1483" s="436"/>
      <c r="D1483" s="436"/>
      <c r="E1483" s="436"/>
      <c r="F1483" s="436"/>
      <c r="G1483" s="483"/>
      <c r="H1483" s="436"/>
    </row>
    <row r="1484" spans="1:15" ht="15.75" thickBot="1">
      <c r="A1484" s="436"/>
      <c r="B1484" s="436"/>
      <c r="C1484" s="436"/>
      <c r="D1484" s="436"/>
      <c r="E1484" s="484" t="s">
        <v>102</v>
      </c>
      <c r="F1484" s="485"/>
      <c r="G1484" s="485"/>
      <c r="H1484" s="466">
        <f>H1463+H1470+H1475+H1482</f>
        <v>20201.165500000003</v>
      </c>
      <c r="J1484" s="447"/>
    </row>
    <row r="1485" spans="1:15" ht="15.75" thickBot="1">
      <c r="A1485" s="450" t="s">
        <v>103</v>
      </c>
      <c r="B1485" s="450"/>
      <c r="C1485" s="436"/>
      <c r="D1485" s="436"/>
      <c r="E1485" s="436"/>
      <c r="F1485" s="436"/>
      <c r="G1485" s="436"/>
      <c r="H1485" s="436"/>
    </row>
    <row r="1486" spans="1:15">
      <c r="A1486" s="487" t="s">
        <v>80</v>
      </c>
      <c r="B1486" s="488"/>
      <c r="C1486" s="488"/>
      <c r="D1486" s="488"/>
      <c r="E1486" s="489"/>
      <c r="F1486" s="490" t="s">
        <v>104</v>
      </c>
      <c r="G1486" s="491" t="s">
        <v>105</v>
      </c>
      <c r="H1486" s="457"/>
    </row>
    <row r="1487" spans="1:15">
      <c r="A1487" s="469" t="s">
        <v>106</v>
      </c>
      <c r="B1487" s="467"/>
      <c r="C1487" s="467"/>
      <c r="D1487" s="467"/>
      <c r="E1487" s="468"/>
      <c r="F1487" s="492">
        <f>PRESUPUESTO!$E$222</f>
        <v>0.109</v>
      </c>
      <c r="G1487" s="493">
        <f>+F1487*H1484</f>
        <v>2201.9270395000003</v>
      </c>
      <c r="H1487" s="460"/>
    </row>
    <row r="1488" spans="1:15">
      <c r="A1488" s="469" t="s">
        <v>107</v>
      </c>
      <c r="B1488" s="467"/>
      <c r="C1488" s="467"/>
      <c r="D1488" s="467"/>
      <c r="E1488" s="468"/>
      <c r="F1488" s="492">
        <f>PRESUPUESTO!$E$223</f>
        <v>0.05</v>
      </c>
      <c r="G1488" s="493">
        <f>+F1488*H1484</f>
        <v>1010.0582750000002</v>
      </c>
      <c r="H1488" s="460"/>
    </row>
    <row r="1489" spans="1:10" ht="15.75" thickBot="1">
      <c r="A1489" s="472" t="s">
        <v>108</v>
      </c>
      <c r="B1489" s="473"/>
      <c r="C1489" s="473"/>
      <c r="D1489" s="473"/>
      <c r="E1489" s="474"/>
      <c r="F1489" s="494">
        <v>0</v>
      </c>
      <c r="G1489" s="495">
        <f>+F1489*H1484</f>
        <v>0</v>
      </c>
      <c r="H1489" s="465"/>
    </row>
    <row r="1490" spans="1:10" ht="15.75" thickBot="1">
      <c r="A1490" s="436"/>
      <c r="B1490" s="436"/>
      <c r="C1490" s="436"/>
      <c r="D1490" s="436"/>
      <c r="E1490" s="436"/>
      <c r="F1490" s="436"/>
      <c r="G1490" s="437" t="s">
        <v>86</v>
      </c>
      <c r="H1490" s="496">
        <f>SUM(G1487:G1489)</f>
        <v>3211.9853145000006</v>
      </c>
    </row>
    <row r="1491" spans="1:10" ht="15.75" thickBot="1">
      <c r="A1491" s="436"/>
      <c r="B1491" s="436"/>
      <c r="C1491" s="436"/>
      <c r="D1491" s="436"/>
      <c r="E1491" s="436"/>
      <c r="F1491" s="436"/>
      <c r="G1491" s="436"/>
      <c r="H1491" s="436"/>
    </row>
    <row r="1492" spans="1:10" ht="15.75" thickBot="1">
      <c r="A1492" s="446"/>
      <c r="B1492" s="446"/>
      <c r="C1492" s="436"/>
      <c r="D1492" s="484" t="s">
        <v>109</v>
      </c>
      <c r="E1492" s="485"/>
      <c r="F1492" s="485"/>
      <c r="G1492" s="485"/>
      <c r="H1492" s="466">
        <f>ROUND((H1484+H1490),0)</f>
        <v>23413</v>
      </c>
    </row>
    <row r="1493" spans="1:10">
      <c r="A1493" s="446"/>
      <c r="B1493" s="446"/>
      <c r="C1493" s="446"/>
      <c r="D1493" s="446"/>
      <c r="E1493" s="446"/>
      <c r="F1493" s="446"/>
      <c r="G1493" s="446"/>
      <c r="H1493" s="446"/>
    </row>
    <row r="1494" spans="1:10">
      <c r="A1494" s="186" t="s">
        <v>77</v>
      </c>
      <c r="B1494" s="446"/>
      <c r="C1494" s="446"/>
      <c r="D1494" s="446"/>
      <c r="E1494" s="446"/>
      <c r="F1494" s="446"/>
      <c r="G1494" s="446"/>
      <c r="H1494" s="446"/>
    </row>
    <row r="1495" spans="1:10" ht="15.75" thickBot="1">
      <c r="A1495" s="446"/>
      <c r="B1495" s="446"/>
      <c r="C1495" s="446"/>
      <c r="D1495" s="446"/>
      <c r="E1495" s="446"/>
      <c r="F1495" s="446"/>
      <c r="G1495" s="446"/>
      <c r="H1495" s="446"/>
    </row>
    <row r="1496" spans="1:10">
      <c r="A1496" s="1348" t="s">
        <v>213</v>
      </c>
      <c r="B1496" s="1349"/>
      <c r="C1496" s="1350"/>
      <c r="D1496" s="448"/>
      <c r="E1496" s="448"/>
      <c r="F1496" s="448"/>
      <c r="G1496" s="448"/>
      <c r="H1496" s="449"/>
    </row>
    <row r="1497" spans="1:10">
      <c r="A1497" s="1351"/>
      <c r="B1497" s="1352"/>
      <c r="C1497" s="1353"/>
      <c r="D1497" s="436"/>
      <c r="E1497" s="450" t="s">
        <v>78</v>
      </c>
      <c r="F1497" s="436"/>
      <c r="G1497" s="436"/>
      <c r="H1497" s="451"/>
    </row>
    <row r="1498" spans="1:10" ht="15.75" thickBot="1">
      <c r="A1498" s="1354"/>
      <c r="B1498" s="1355"/>
      <c r="C1498" s="1356"/>
      <c r="D1498" s="1360"/>
      <c r="E1498" s="1361"/>
      <c r="F1498" s="1361"/>
      <c r="G1498" s="1361"/>
      <c r="H1498" s="1362"/>
    </row>
    <row r="1499" spans="1:10">
      <c r="A1499" s="455"/>
      <c r="B1499" s="436"/>
      <c r="C1499" s="436"/>
      <c r="D1499" s="436"/>
      <c r="E1499" s="436"/>
      <c r="F1499" s="436"/>
      <c r="G1499" s="436"/>
      <c r="H1499" s="436"/>
    </row>
    <row r="1500" spans="1:10" s="446" customFormat="1" ht="12.75">
      <c r="A1500" s="455" t="s">
        <v>1146</v>
      </c>
      <c r="B1500" s="456" t="str">
        <f>+PRESUPUESTO!$B$70</f>
        <v>INSTALACIONES ELÉCTRICAS</v>
      </c>
      <c r="C1500" s="436"/>
      <c r="E1500" s="456"/>
      <c r="G1500" s="456" t="s">
        <v>1123</v>
      </c>
      <c r="H1500" s="483" t="s">
        <v>1195</v>
      </c>
      <c r="I1500" s="436"/>
      <c r="J1500" s="436"/>
    </row>
    <row r="1501" spans="1:10" s="931" customFormat="1" ht="52.15" customHeight="1">
      <c r="A1501" s="928" t="s">
        <v>1122</v>
      </c>
      <c r="B1501" s="1375" t="str">
        <f>VLOOKUP(H1500,PRESUPUESTO!$A$18:$F$251,2,FALSE)</f>
        <v>Suministro, Transporte e Instalacion Tubería metálica tipo EMT de 3/4" para Alimentadores</v>
      </c>
      <c r="C1501" s="1375"/>
      <c r="D1501" s="1375"/>
      <c r="E1501" s="1375"/>
      <c r="F1501" s="1375"/>
      <c r="G1501" s="929" t="s">
        <v>9</v>
      </c>
      <c r="H1501" s="1024" t="str">
        <f>VLOOKUP(H1500,PRESUPUESTO!$A$18:$F$251,3,FALSE)</f>
        <v>ml</v>
      </c>
    </row>
    <row r="1502" spans="1:10">
      <c r="A1502" s="456"/>
      <c r="B1502" s="456"/>
      <c r="C1502" s="436"/>
      <c r="D1502" s="456"/>
      <c r="E1502" s="456"/>
      <c r="F1502" s="456"/>
      <c r="G1502" s="456"/>
      <c r="H1502" s="436"/>
    </row>
    <row r="1503" spans="1:10" ht="15.75" thickBot="1">
      <c r="A1503" s="450" t="s">
        <v>79</v>
      </c>
      <c r="B1503" s="450"/>
      <c r="C1503" s="436"/>
      <c r="D1503" s="436"/>
      <c r="E1503" s="436"/>
      <c r="F1503" s="436"/>
      <c r="G1503" s="436"/>
      <c r="H1503" s="436"/>
    </row>
    <row r="1504" spans="1:10">
      <c r="A1504" s="1345" t="s">
        <v>80</v>
      </c>
      <c r="B1504" s="1346"/>
      <c r="C1504" s="1347"/>
      <c r="D1504" s="438" t="s">
        <v>81</v>
      </c>
      <c r="E1504" s="438" t="s">
        <v>82</v>
      </c>
      <c r="F1504" s="438" t="s">
        <v>83</v>
      </c>
      <c r="G1504" s="439" t="s">
        <v>84</v>
      </c>
      <c r="H1504" s="457"/>
    </row>
    <row r="1505" spans="1:9">
      <c r="A1505" s="1357" t="s">
        <v>471</v>
      </c>
      <c r="B1505" s="1358"/>
      <c r="C1505" s="1359"/>
      <c r="D1505" s="459" t="s">
        <v>268</v>
      </c>
      <c r="E1505" s="440">
        <v>1000</v>
      </c>
      <c r="F1505" s="440">
        <v>1</v>
      </c>
      <c r="G1505" s="432">
        <f>E1505*F1505</f>
        <v>1000</v>
      </c>
      <c r="H1505" s="460"/>
    </row>
    <row r="1506" spans="1:9">
      <c r="A1506" s="1357"/>
      <c r="B1506" s="1358"/>
      <c r="C1506" s="1359"/>
      <c r="D1506" s="461"/>
      <c r="E1506" s="462"/>
      <c r="F1506" s="497"/>
      <c r="G1506" s="432">
        <f>E1506*F1506</f>
        <v>0</v>
      </c>
      <c r="H1506" s="460"/>
    </row>
    <row r="1507" spans="1:9" ht="15.75" thickBot="1">
      <c r="A1507" s="1342"/>
      <c r="B1507" s="1343"/>
      <c r="C1507" s="1344"/>
      <c r="D1507" s="464"/>
      <c r="E1507" s="433"/>
      <c r="F1507" s="434"/>
      <c r="G1507" s="441">
        <f>E1507*F1507</f>
        <v>0</v>
      </c>
      <c r="H1507" s="465"/>
    </row>
    <row r="1508" spans="1:9" ht="15.75" thickBot="1">
      <c r="A1508" s="436"/>
      <c r="B1508" s="436"/>
      <c r="C1508" s="436"/>
      <c r="D1508" s="436"/>
      <c r="E1508" s="436"/>
      <c r="F1508" s="436"/>
      <c r="G1508" s="437" t="s">
        <v>86</v>
      </c>
      <c r="H1508" s="466">
        <f>SUM(G1505:G1507)</f>
        <v>1000</v>
      </c>
    </row>
    <row r="1509" spans="1:9" ht="15.75" thickBot="1">
      <c r="A1509" s="450" t="s">
        <v>87</v>
      </c>
      <c r="B1509" s="450"/>
      <c r="C1509" s="436"/>
      <c r="D1509" s="436"/>
      <c r="E1509" s="436"/>
      <c r="F1509" s="436"/>
      <c r="G1509" s="436"/>
      <c r="H1509" s="436"/>
    </row>
    <row r="1510" spans="1:9">
      <c r="A1510" s="1345" t="s">
        <v>80</v>
      </c>
      <c r="B1510" s="1346"/>
      <c r="C1510" s="1347"/>
      <c r="D1510" s="438" t="s">
        <v>88</v>
      </c>
      <c r="E1510" s="438" t="s">
        <v>89</v>
      </c>
      <c r="F1510" s="438" t="s">
        <v>90</v>
      </c>
      <c r="G1510" s="439" t="s">
        <v>84</v>
      </c>
      <c r="H1510" s="457"/>
    </row>
    <row r="1511" spans="1:9" ht="15" customHeight="1">
      <c r="A1511" s="458" t="s">
        <v>443</v>
      </c>
      <c r="B1511" s="467"/>
      <c r="C1511" s="468"/>
      <c r="D1511" s="459" t="s">
        <v>268</v>
      </c>
      <c r="E1511" s="430">
        <v>286</v>
      </c>
      <c r="F1511" s="440">
        <v>1.3333330000000001</v>
      </c>
      <c r="G1511" s="445">
        <f t="shared" ref="G1511:G1516" si="7">E1511*F1511</f>
        <v>381.33323800000005</v>
      </c>
      <c r="H1511" s="460"/>
    </row>
    <row r="1512" spans="1:9">
      <c r="A1512" s="469" t="s">
        <v>452</v>
      </c>
      <c r="B1512" s="467"/>
      <c r="C1512" s="468"/>
      <c r="D1512" s="459" t="s">
        <v>268</v>
      </c>
      <c r="E1512" s="430">
        <v>220</v>
      </c>
      <c r="F1512" s="440">
        <v>0.67</v>
      </c>
      <c r="G1512" s="445">
        <f t="shared" si="7"/>
        <v>147.4</v>
      </c>
      <c r="H1512" s="460"/>
    </row>
    <row r="1513" spans="1:9" ht="15" customHeight="1">
      <c r="A1513" s="469" t="s">
        <v>453</v>
      </c>
      <c r="B1513" s="467"/>
      <c r="C1513" s="471"/>
      <c r="D1513" s="459" t="s">
        <v>268</v>
      </c>
      <c r="E1513" s="430">
        <v>1750</v>
      </c>
      <c r="F1513" s="440">
        <v>0.17</v>
      </c>
      <c r="G1513" s="445">
        <f t="shared" si="7"/>
        <v>297.5</v>
      </c>
      <c r="H1513" s="460"/>
    </row>
    <row r="1514" spans="1:9">
      <c r="A1514" s="469" t="s">
        <v>454</v>
      </c>
      <c r="B1514" s="467"/>
      <c r="C1514" s="468"/>
      <c r="D1514" s="459" t="s">
        <v>268</v>
      </c>
      <c r="E1514" s="430">
        <v>14000</v>
      </c>
      <c r="F1514" s="431">
        <v>1.05</v>
      </c>
      <c r="G1514" s="445">
        <f t="shared" si="7"/>
        <v>14700</v>
      </c>
      <c r="H1514" s="460"/>
      <c r="I1514" s="672"/>
    </row>
    <row r="1515" spans="1:9">
      <c r="A1515" s="469" t="s">
        <v>455</v>
      </c>
      <c r="B1515" s="467"/>
      <c r="C1515" s="468"/>
      <c r="D1515" s="459" t="s">
        <v>268</v>
      </c>
      <c r="E1515" s="430">
        <v>1200</v>
      </c>
      <c r="F1515" s="431">
        <v>0.33</v>
      </c>
      <c r="G1515" s="445">
        <f t="shared" si="7"/>
        <v>396</v>
      </c>
      <c r="H1515" s="460"/>
    </row>
    <row r="1516" spans="1:9" ht="15.75" thickBot="1">
      <c r="A1516" s="472" t="s">
        <v>456</v>
      </c>
      <c r="B1516" s="473"/>
      <c r="C1516" s="474"/>
      <c r="D1516" s="464" t="s">
        <v>268</v>
      </c>
      <c r="E1516" s="433">
        <v>1500</v>
      </c>
      <c r="F1516" s="434">
        <v>0.32929999999999998</v>
      </c>
      <c r="G1516" s="441">
        <f t="shared" si="7"/>
        <v>493.95</v>
      </c>
      <c r="H1516" s="465"/>
    </row>
    <row r="1517" spans="1:9" ht="15.75" thickBot="1">
      <c r="A1517" s="436"/>
      <c r="B1517" s="436"/>
      <c r="C1517" s="436"/>
      <c r="D1517" s="436"/>
      <c r="E1517" s="436"/>
      <c r="F1517" s="436"/>
      <c r="G1517" s="437" t="s">
        <v>86</v>
      </c>
      <c r="H1517" s="466">
        <f>SUM(G1511:G1516)</f>
        <v>16416.183238000001</v>
      </c>
    </row>
    <row r="1518" spans="1:9" ht="15.75" thickBot="1">
      <c r="A1518" s="450" t="s">
        <v>94</v>
      </c>
      <c r="B1518" s="450"/>
      <c r="C1518" s="436"/>
      <c r="D1518" s="436"/>
      <c r="E1518" s="436"/>
      <c r="F1518" s="436"/>
      <c r="G1518" s="436"/>
      <c r="H1518" s="436"/>
    </row>
    <row r="1519" spans="1:9">
      <c r="A1519" s="1345" t="s">
        <v>95</v>
      </c>
      <c r="B1519" s="1346"/>
      <c r="C1519" s="1347"/>
      <c r="D1519" s="438" t="s">
        <v>88</v>
      </c>
      <c r="E1519" s="438" t="s">
        <v>89</v>
      </c>
      <c r="F1519" s="438" t="s">
        <v>90</v>
      </c>
      <c r="G1519" s="439" t="s">
        <v>84</v>
      </c>
      <c r="H1519" s="457"/>
    </row>
    <row r="1520" spans="1:9">
      <c r="A1520" s="458" t="s">
        <v>235</v>
      </c>
      <c r="B1520" s="467"/>
      <c r="C1520" s="468"/>
      <c r="D1520" s="459" t="s">
        <v>268</v>
      </c>
      <c r="E1520" s="430">
        <v>1000</v>
      </c>
      <c r="F1520" s="440">
        <v>1</v>
      </c>
      <c r="G1520" s="432">
        <f>E1520*F1520</f>
        <v>1000</v>
      </c>
      <c r="H1520" s="460"/>
    </row>
    <row r="1521" spans="1:10" ht="15.75" thickBot="1">
      <c r="A1521" s="1342"/>
      <c r="B1521" s="1343"/>
      <c r="C1521" s="1344"/>
      <c r="D1521" s="475"/>
      <c r="E1521" s="433"/>
      <c r="F1521" s="434"/>
      <c r="G1521" s="441"/>
      <c r="H1521" s="460"/>
    </row>
    <row r="1522" spans="1:10" ht="15.75" thickBot="1">
      <c r="A1522" s="436"/>
      <c r="B1522" s="436"/>
      <c r="C1522" s="436"/>
      <c r="D1522" s="436"/>
      <c r="E1522" s="436"/>
      <c r="F1522" s="436"/>
      <c r="G1522" s="437" t="s">
        <v>86</v>
      </c>
      <c r="H1522" s="466">
        <f>SUM(G1520:G1521)</f>
        <v>1000</v>
      </c>
    </row>
    <row r="1523" spans="1:10" ht="15.75" thickBot="1">
      <c r="A1523" s="450" t="s">
        <v>96</v>
      </c>
      <c r="B1523" s="450"/>
      <c r="C1523" s="436"/>
      <c r="D1523" s="436"/>
      <c r="E1523" s="436"/>
      <c r="F1523" s="436"/>
      <c r="G1523" s="436"/>
      <c r="H1523" s="436"/>
    </row>
    <row r="1524" spans="1:10">
      <c r="A1524" s="476" t="s">
        <v>97</v>
      </c>
      <c r="B1524" s="438"/>
      <c r="C1524" s="438" t="s">
        <v>98</v>
      </c>
      <c r="D1524" s="438" t="s">
        <v>99</v>
      </c>
      <c r="E1524" s="442" t="s">
        <v>100</v>
      </c>
      <c r="F1524" s="443" t="s">
        <v>83</v>
      </c>
      <c r="G1524" s="444" t="s">
        <v>84</v>
      </c>
      <c r="H1524" s="477"/>
    </row>
    <row r="1525" spans="1:10">
      <c r="A1525" s="478" t="s">
        <v>101</v>
      </c>
      <c r="B1525" s="467"/>
      <c r="C1525" s="479">
        <f>PERSONAL!$E$32</f>
        <v>87200</v>
      </c>
      <c r="D1525" s="480">
        <f>PERSONAL!$F$31</f>
        <v>1.7431000000000001</v>
      </c>
      <c r="E1525" s="440">
        <f>+D1525*C1525</f>
        <v>151998.32</v>
      </c>
      <c r="F1525" s="440">
        <v>12</v>
      </c>
      <c r="G1525" s="445">
        <f>ROUND(E1525/F1525,0)</f>
        <v>12667</v>
      </c>
      <c r="H1525" s="451"/>
    </row>
    <row r="1526" spans="1:10">
      <c r="A1526" s="478"/>
      <c r="B1526" s="467"/>
      <c r="C1526" s="479"/>
      <c r="D1526" s="480"/>
      <c r="E1526" s="440"/>
      <c r="F1526" s="440"/>
      <c r="G1526" s="445"/>
      <c r="H1526" s="451"/>
    </row>
    <row r="1527" spans="1:10">
      <c r="A1527" s="478"/>
      <c r="B1527" s="468"/>
      <c r="C1527" s="430"/>
      <c r="D1527" s="459"/>
      <c r="E1527" s="430"/>
      <c r="F1527" s="440"/>
      <c r="G1527" s="445"/>
      <c r="H1527" s="451"/>
    </row>
    <row r="1528" spans="1:10">
      <c r="A1528" s="478"/>
      <c r="B1528" s="468"/>
      <c r="C1528" s="430"/>
      <c r="D1528" s="459"/>
      <c r="E1528" s="430"/>
      <c r="F1528" s="440"/>
      <c r="G1528" s="445"/>
      <c r="H1528" s="451"/>
    </row>
    <row r="1529" spans="1:10" ht="15.75" thickBot="1">
      <c r="A1529" s="481"/>
      <c r="B1529" s="474"/>
      <c r="C1529" s="474"/>
      <c r="D1529" s="474"/>
      <c r="E1529" s="474"/>
      <c r="F1529" s="474"/>
      <c r="G1529" s="482"/>
      <c r="H1529" s="482"/>
    </row>
    <row r="1530" spans="1:10" ht="15.75" thickBot="1">
      <c r="A1530" s="436"/>
      <c r="B1530" s="436"/>
      <c r="C1530" s="436"/>
      <c r="D1530" s="436"/>
      <c r="E1530" s="436"/>
      <c r="F1530" s="436"/>
      <c r="G1530" s="437" t="s">
        <v>86</v>
      </c>
      <c r="H1530" s="466">
        <f>SUM(G1525:G1529)</f>
        <v>12667</v>
      </c>
    </row>
    <row r="1531" spans="1:10" ht="15.75" thickBot="1">
      <c r="A1531" s="436"/>
      <c r="B1531" s="436"/>
      <c r="C1531" s="436"/>
      <c r="D1531" s="436"/>
      <c r="E1531" s="436"/>
      <c r="F1531" s="436"/>
      <c r="G1531" s="483"/>
      <c r="H1531" s="436"/>
    </row>
    <row r="1532" spans="1:10" ht="15.75" thickBot="1">
      <c r="A1532" s="436"/>
      <c r="B1532" s="436"/>
      <c r="C1532" s="436"/>
      <c r="D1532" s="436"/>
      <c r="E1532" s="484" t="s">
        <v>102</v>
      </c>
      <c r="F1532" s="485"/>
      <c r="G1532" s="485"/>
      <c r="H1532" s="466">
        <f>H1508+H1517+H1522+H1530</f>
        <v>31083.183238000001</v>
      </c>
      <c r="J1532" s="447"/>
    </row>
    <row r="1533" spans="1:10" ht="15.75" thickBot="1">
      <c r="A1533" s="450" t="s">
        <v>103</v>
      </c>
      <c r="B1533" s="450"/>
      <c r="C1533" s="436"/>
      <c r="D1533" s="436"/>
      <c r="E1533" s="436"/>
      <c r="F1533" s="436"/>
      <c r="G1533" s="436"/>
      <c r="H1533" s="436"/>
    </row>
    <row r="1534" spans="1:10">
      <c r="A1534" s="487" t="s">
        <v>80</v>
      </c>
      <c r="B1534" s="488"/>
      <c r="C1534" s="488"/>
      <c r="D1534" s="488"/>
      <c r="E1534" s="489"/>
      <c r="F1534" s="490" t="s">
        <v>104</v>
      </c>
      <c r="G1534" s="491" t="s">
        <v>105</v>
      </c>
      <c r="H1534" s="457"/>
    </row>
    <row r="1535" spans="1:10">
      <c r="A1535" s="469" t="s">
        <v>106</v>
      </c>
      <c r="B1535" s="467"/>
      <c r="C1535" s="467"/>
      <c r="D1535" s="467"/>
      <c r="E1535" s="468"/>
      <c r="F1535" s="492">
        <f>PRESUPUESTO!$E$222</f>
        <v>0.109</v>
      </c>
      <c r="G1535" s="493">
        <f>+F1535*H1532</f>
        <v>3388.0669729420001</v>
      </c>
      <c r="H1535" s="460"/>
    </row>
    <row r="1536" spans="1:10">
      <c r="A1536" s="469" t="s">
        <v>107</v>
      </c>
      <c r="B1536" s="467"/>
      <c r="C1536" s="467"/>
      <c r="D1536" s="467"/>
      <c r="E1536" s="468"/>
      <c r="F1536" s="492">
        <f>PRESUPUESTO!$E$223</f>
        <v>0.05</v>
      </c>
      <c r="G1536" s="493">
        <f>+F1536*H1532</f>
        <v>1554.1591619000001</v>
      </c>
      <c r="H1536" s="460"/>
    </row>
    <row r="1537" spans="1:10" ht="15.75" thickBot="1">
      <c r="A1537" s="472" t="s">
        <v>108</v>
      </c>
      <c r="B1537" s="473"/>
      <c r="C1537" s="473"/>
      <c r="D1537" s="473"/>
      <c r="E1537" s="474"/>
      <c r="F1537" s="494">
        <v>0</v>
      </c>
      <c r="G1537" s="495">
        <f>+F1537*H1532</f>
        <v>0</v>
      </c>
      <c r="H1537" s="465"/>
    </row>
    <row r="1538" spans="1:10" ht="15.75" thickBot="1">
      <c r="A1538" s="436"/>
      <c r="B1538" s="436"/>
      <c r="C1538" s="436"/>
      <c r="D1538" s="436"/>
      <c r="E1538" s="436"/>
      <c r="F1538" s="436"/>
      <c r="G1538" s="437" t="s">
        <v>86</v>
      </c>
      <c r="H1538" s="496">
        <f>SUM(G1535:G1537)</f>
        <v>4942.2261348419997</v>
      </c>
    </row>
    <row r="1539" spans="1:10" ht="15.75" thickBot="1">
      <c r="A1539" s="436"/>
      <c r="B1539" s="436"/>
      <c r="C1539" s="436"/>
      <c r="D1539" s="436"/>
      <c r="E1539" s="436"/>
      <c r="F1539" s="436"/>
      <c r="G1539" s="436"/>
      <c r="H1539" s="436"/>
    </row>
    <row r="1540" spans="1:10" ht="15.75" thickBot="1">
      <c r="A1540" s="446"/>
      <c r="B1540" s="446"/>
      <c r="C1540" s="436"/>
      <c r="D1540" s="484" t="s">
        <v>109</v>
      </c>
      <c r="E1540" s="485"/>
      <c r="F1540" s="485"/>
      <c r="G1540" s="485"/>
      <c r="H1540" s="466">
        <f>ROUND((H1532+H1538),0)</f>
        <v>36025</v>
      </c>
    </row>
    <row r="1542" spans="1:10">
      <c r="A1542" s="186" t="s">
        <v>77</v>
      </c>
      <c r="B1542" s="446"/>
      <c r="C1542" s="446"/>
      <c r="D1542" s="446"/>
      <c r="E1542" s="446"/>
      <c r="F1542" s="446"/>
      <c r="G1542" s="446"/>
      <c r="H1542" s="446"/>
    </row>
    <row r="1543" spans="1:10" ht="15.75" thickBot="1">
      <c r="A1543" s="446"/>
      <c r="B1543" s="446"/>
      <c r="C1543" s="446"/>
      <c r="D1543" s="446"/>
      <c r="E1543" s="446"/>
      <c r="F1543" s="446"/>
      <c r="G1543" s="446"/>
      <c r="H1543" s="446"/>
    </row>
    <row r="1544" spans="1:10">
      <c r="A1544" s="1348" t="s">
        <v>213</v>
      </c>
      <c r="B1544" s="1349"/>
      <c r="C1544" s="1350"/>
      <c r="D1544" s="448"/>
      <c r="E1544" s="448"/>
      <c r="F1544" s="448"/>
      <c r="G1544" s="448"/>
      <c r="H1544" s="449"/>
    </row>
    <row r="1545" spans="1:10">
      <c r="A1545" s="1351"/>
      <c r="B1545" s="1352"/>
      <c r="C1545" s="1353"/>
      <c r="D1545" s="436"/>
      <c r="E1545" s="450" t="s">
        <v>78</v>
      </c>
      <c r="F1545" s="436"/>
      <c r="G1545" s="436"/>
      <c r="H1545" s="451"/>
    </row>
    <row r="1546" spans="1:10" ht="15.75" thickBot="1">
      <c r="A1546" s="1354"/>
      <c r="B1546" s="1355"/>
      <c r="C1546" s="1356"/>
      <c r="D1546" s="1360"/>
      <c r="E1546" s="1361"/>
      <c r="F1546" s="1361"/>
      <c r="G1546" s="1361"/>
      <c r="H1546" s="1362"/>
    </row>
    <row r="1547" spans="1:10">
      <c r="A1547" s="455"/>
      <c r="B1547" s="436"/>
      <c r="C1547" s="436"/>
      <c r="D1547" s="436"/>
      <c r="E1547" s="436"/>
      <c r="F1547" s="436"/>
      <c r="G1547" s="436"/>
      <c r="H1547" s="436"/>
    </row>
    <row r="1548" spans="1:10" s="446" customFormat="1" ht="12.75">
      <c r="A1548" s="455" t="s">
        <v>1146</v>
      </c>
      <c r="B1548" s="456" t="str">
        <f>+PRESUPUESTO!$B$70</f>
        <v>INSTALACIONES ELÉCTRICAS</v>
      </c>
      <c r="C1548" s="436"/>
      <c r="E1548" s="456"/>
      <c r="G1548" s="456" t="s">
        <v>1123</v>
      </c>
      <c r="H1548" s="483" t="s">
        <v>1196</v>
      </c>
      <c r="I1548" s="436"/>
      <c r="J1548" s="436"/>
    </row>
    <row r="1549" spans="1:10" s="931" customFormat="1" ht="52.15" customHeight="1">
      <c r="A1549" s="928" t="s">
        <v>1122</v>
      </c>
      <c r="B1549" s="1375" t="str">
        <f>VLOOKUP(H1548,PRESUPUESTO!$A$18:$F$251,2,FALSE)</f>
        <v>Suministro, Transporte e Instalacion Cajas 12x12x5 metalica de paso</v>
      </c>
      <c r="C1549" s="1375"/>
      <c r="D1549" s="1375"/>
      <c r="E1549" s="1375"/>
      <c r="F1549" s="1375"/>
      <c r="G1549" s="929" t="s">
        <v>9</v>
      </c>
      <c r="H1549" s="1024" t="str">
        <f>VLOOKUP(H1548,PRESUPUESTO!$A$18:$F$251,3,FALSE)</f>
        <v>un</v>
      </c>
    </row>
    <row r="1550" spans="1:10">
      <c r="A1550" s="456"/>
      <c r="B1550" s="456"/>
      <c r="C1550" s="436"/>
      <c r="D1550" s="456"/>
      <c r="E1550" s="456"/>
      <c r="F1550" s="456"/>
      <c r="G1550" s="456"/>
      <c r="H1550" s="436"/>
    </row>
    <row r="1551" spans="1:10" ht="15.75" thickBot="1">
      <c r="A1551" s="450" t="s">
        <v>79</v>
      </c>
      <c r="B1551" s="450"/>
      <c r="C1551" s="436"/>
      <c r="D1551" s="436"/>
      <c r="E1551" s="436"/>
      <c r="F1551" s="436"/>
      <c r="G1551" s="436"/>
      <c r="H1551" s="436"/>
    </row>
    <row r="1552" spans="1:10">
      <c r="A1552" s="1345" t="s">
        <v>80</v>
      </c>
      <c r="B1552" s="1346"/>
      <c r="C1552" s="1347"/>
      <c r="D1552" s="438" t="s">
        <v>81</v>
      </c>
      <c r="E1552" s="438" t="s">
        <v>82</v>
      </c>
      <c r="F1552" s="438" t="s">
        <v>83</v>
      </c>
      <c r="G1552" s="439" t="s">
        <v>84</v>
      </c>
      <c r="H1552" s="457"/>
    </row>
    <row r="1553" spans="1:8">
      <c r="A1553" s="1357" t="s">
        <v>471</v>
      </c>
      <c r="B1553" s="1358"/>
      <c r="C1553" s="1359"/>
      <c r="D1553" s="459" t="s">
        <v>268</v>
      </c>
      <c r="E1553" s="440">
        <v>1000</v>
      </c>
      <c r="F1553" s="440">
        <v>1</v>
      </c>
      <c r="G1553" s="432">
        <f>E1553*F1553</f>
        <v>1000</v>
      </c>
      <c r="H1553" s="460"/>
    </row>
    <row r="1554" spans="1:8">
      <c r="A1554" s="1357"/>
      <c r="B1554" s="1358"/>
      <c r="C1554" s="1359"/>
      <c r="D1554" s="461"/>
      <c r="E1554" s="462"/>
      <c r="F1554" s="497"/>
      <c r="G1554" s="432">
        <f>E1554*F1554</f>
        <v>0</v>
      </c>
      <c r="H1554" s="460"/>
    </row>
    <row r="1555" spans="1:8" ht="15.75" thickBot="1">
      <c r="A1555" s="1342"/>
      <c r="B1555" s="1343"/>
      <c r="C1555" s="1344"/>
      <c r="D1555" s="464"/>
      <c r="E1555" s="433"/>
      <c r="F1555" s="434"/>
      <c r="G1555" s="441">
        <f>E1555*F1555</f>
        <v>0</v>
      </c>
      <c r="H1555" s="465"/>
    </row>
    <row r="1556" spans="1:8" ht="15.75" thickBot="1">
      <c r="A1556" s="436"/>
      <c r="B1556" s="436"/>
      <c r="C1556" s="436"/>
      <c r="D1556" s="436"/>
      <c r="E1556" s="436"/>
      <c r="F1556" s="436"/>
      <c r="G1556" s="437" t="s">
        <v>86</v>
      </c>
      <c r="H1556" s="466">
        <f>SUM(G1553:G1555)</f>
        <v>1000</v>
      </c>
    </row>
    <row r="1557" spans="1:8" ht="15.75" thickBot="1">
      <c r="A1557" s="450" t="s">
        <v>87</v>
      </c>
      <c r="B1557" s="450"/>
      <c r="C1557" s="436"/>
      <c r="D1557" s="436"/>
      <c r="E1557" s="436"/>
      <c r="F1557" s="436"/>
      <c r="G1557" s="436"/>
      <c r="H1557" s="436"/>
    </row>
    <row r="1558" spans="1:8">
      <c r="A1558" s="1345" t="s">
        <v>80</v>
      </c>
      <c r="B1558" s="1346"/>
      <c r="C1558" s="1347"/>
      <c r="D1558" s="438" t="s">
        <v>88</v>
      </c>
      <c r="E1558" s="438" t="s">
        <v>89</v>
      </c>
      <c r="F1558" s="438" t="s">
        <v>90</v>
      </c>
      <c r="G1558" s="444" t="s">
        <v>84</v>
      </c>
      <c r="H1558" s="457"/>
    </row>
    <row r="1559" spans="1:8" ht="15" customHeight="1">
      <c r="A1559" s="458" t="s">
        <v>443</v>
      </c>
      <c r="B1559" s="467"/>
      <c r="C1559" s="468"/>
      <c r="D1559" s="459" t="s">
        <v>268</v>
      </c>
      <c r="E1559" s="430">
        <v>246</v>
      </c>
      <c r="F1559" s="440">
        <v>2</v>
      </c>
      <c r="G1559" s="445">
        <f>E1559*F1559</f>
        <v>492</v>
      </c>
      <c r="H1559" s="460"/>
    </row>
    <row r="1560" spans="1:8">
      <c r="A1560" s="469" t="s">
        <v>457</v>
      </c>
      <c r="B1560" s="467"/>
      <c r="C1560" s="468"/>
      <c r="D1560" s="459" t="s">
        <v>271</v>
      </c>
      <c r="E1560" s="430">
        <f>9100*1.15</f>
        <v>10465</v>
      </c>
      <c r="F1560" s="440">
        <v>1</v>
      </c>
      <c r="G1560" s="445">
        <f>E1560*F1560</f>
        <v>10465</v>
      </c>
      <c r="H1560" s="460"/>
    </row>
    <row r="1561" spans="1:8" ht="15" customHeight="1">
      <c r="A1561" s="469"/>
      <c r="B1561" s="467"/>
      <c r="C1561" s="471"/>
      <c r="D1561" s="459"/>
      <c r="E1561" s="430"/>
      <c r="F1561" s="440"/>
      <c r="G1561" s="445">
        <f>(F1561)*E1561</f>
        <v>0</v>
      </c>
      <c r="H1561" s="460"/>
    </row>
    <row r="1562" spans="1:8">
      <c r="A1562" s="469"/>
      <c r="B1562" s="467"/>
      <c r="C1562" s="468"/>
      <c r="D1562" s="459"/>
      <c r="E1562" s="430"/>
      <c r="F1562" s="431"/>
      <c r="G1562" s="445"/>
      <c r="H1562" s="460"/>
    </row>
    <row r="1563" spans="1:8" ht="15.75" thickBot="1">
      <c r="A1563" s="499"/>
      <c r="B1563" s="500"/>
      <c r="C1563" s="501"/>
      <c r="D1563" s="464"/>
      <c r="E1563" s="433"/>
      <c r="F1563" s="502"/>
      <c r="G1563" s="441"/>
      <c r="H1563" s="460"/>
    </row>
    <row r="1564" spans="1:8" ht="15.75" thickBot="1">
      <c r="A1564" s="436"/>
      <c r="B1564" s="436"/>
      <c r="C1564" s="436"/>
      <c r="D1564" s="436"/>
      <c r="E1564" s="436"/>
      <c r="F1564" s="436"/>
      <c r="G1564" s="437" t="s">
        <v>86</v>
      </c>
      <c r="H1564" s="466">
        <f>SUM(G1559:G1563)</f>
        <v>10957</v>
      </c>
    </row>
    <row r="1565" spans="1:8" ht="15.75" thickBot="1">
      <c r="A1565" s="450" t="s">
        <v>94</v>
      </c>
      <c r="B1565" s="450"/>
      <c r="C1565" s="436"/>
      <c r="D1565" s="436"/>
      <c r="E1565" s="436"/>
      <c r="F1565" s="436"/>
      <c r="G1565" s="436"/>
      <c r="H1565" s="436"/>
    </row>
    <row r="1566" spans="1:8">
      <c r="A1566" s="1345" t="s">
        <v>95</v>
      </c>
      <c r="B1566" s="1346"/>
      <c r="C1566" s="1347"/>
      <c r="D1566" s="438" t="s">
        <v>88</v>
      </c>
      <c r="E1566" s="438" t="s">
        <v>89</v>
      </c>
      <c r="F1566" s="438" t="s">
        <v>90</v>
      </c>
      <c r="G1566" s="439" t="s">
        <v>84</v>
      </c>
      <c r="H1566" s="457"/>
    </row>
    <row r="1567" spans="1:8">
      <c r="A1567" s="458" t="s">
        <v>235</v>
      </c>
      <c r="B1567" s="467"/>
      <c r="C1567" s="468"/>
      <c r="D1567" s="459" t="s">
        <v>268</v>
      </c>
      <c r="E1567" s="430">
        <v>1541</v>
      </c>
      <c r="F1567" s="440">
        <v>1</v>
      </c>
      <c r="G1567" s="432">
        <f>E1567*F1567</f>
        <v>1541</v>
      </c>
      <c r="H1567" s="460"/>
    </row>
    <row r="1568" spans="1:8" ht="15.75" thickBot="1">
      <c r="A1568" s="1342"/>
      <c r="B1568" s="1343"/>
      <c r="C1568" s="1344"/>
      <c r="D1568" s="475"/>
      <c r="E1568" s="433"/>
      <c r="F1568" s="434"/>
      <c r="G1568" s="441"/>
      <c r="H1568" s="460"/>
    </row>
    <row r="1569" spans="1:10" ht="15.75" thickBot="1">
      <c r="A1569" s="436"/>
      <c r="B1569" s="436"/>
      <c r="C1569" s="436"/>
      <c r="D1569" s="436"/>
      <c r="E1569" s="436"/>
      <c r="F1569" s="436"/>
      <c r="G1569" s="437" t="s">
        <v>86</v>
      </c>
      <c r="H1569" s="466">
        <f>SUM(G1567:G1568)</f>
        <v>1541</v>
      </c>
    </row>
    <row r="1570" spans="1:10" ht="15.75" thickBot="1">
      <c r="A1570" s="450" t="s">
        <v>96</v>
      </c>
      <c r="B1570" s="450"/>
      <c r="C1570" s="436"/>
      <c r="D1570" s="436"/>
      <c r="E1570" s="436"/>
      <c r="F1570" s="436"/>
      <c r="G1570" s="436"/>
      <c r="H1570" s="436"/>
    </row>
    <row r="1571" spans="1:10">
      <c r="A1571" s="476" t="s">
        <v>97</v>
      </c>
      <c r="B1571" s="438"/>
      <c r="C1571" s="438" t="s">
        <v>98</v>
      </c>
      <c r="D1571" s="438" t="s">
        <v>99</v>
      </c>
      <c r="E1571" s="442" t="s">
        <v>100</v>
      </c>
      <c r="F1571" s="443" t="s">
        <v>83</v>
      </c>
      <c r="G1571" s="444" t="s">
        <v>84</v>
      </c>
      <c r="H1571" s="477"/>
    </row>
    <row r="1572" spans="1:10">
      <c r="A1572" s="478" t="s">
        <v>101</v>
      </c>
      <c r="B1572" s="467"/>
      <c r="C1572" s="479">
        <f>PERSONAL!$E$32</f>
        <v>87200</v>
      </c>
      <c r="D1572" s="480">
        <f>PERSONAL!$F$31</f>
        <v>1.7431000000000001</v>
      </c>
      <c r="E1572" s="440">
        <f>+D1572*C1572</f>
        <v>151998.32</v>
      </c>
      <c r="F1572" s="440">
        <v>16</v>
      </c>
      <c r="G1572" s="445">
        <f>ROUND(E1572/F1572,0)</f>
        <v>9500</v>
      </c>
      <c r="H1572" s="451"/>
    </row>
    <row r="1573" spans="1:10">
      <c r="A1573" s="478"/>
      <c r="B1573" s="467"/>
      <c r="C1573" s="479"/>
      <c r="D1573" s="480"/>
      <c r="E1573" s="440"/>
      <c r="F1573" s="440"/>
      <c r="G1573" s="445"/>
      <c r="H1573" s="451"/>
    </row>
    <row r="1574" spans="1:10">
      <c r="A1574" s="478"/>
      <c r="B1574" s="468"/>
      <c r="C1574" s="430"/>
      <c r="D1574" s="459"/>
      <c r="E1574" s="430"/>
      <c r="F1574" s="440"/>
      <c r="G1574" s="445"/>
      <c r="H1574" s="451"/>
    </row>
    <row r="1575" spans="1:10">
      <c r="A1575" s="478"/>
      <c r="B1575" s="468"/>
      <c r="C1575" s="430"/>
      <c r="D1575" s="459"/>
      <c r="E1575" s="430"/>
      <c r="F1575" s="440"/>
      <c r="G1575" s="445"/>
      <c r="H1575" s="451"/>
    </row>
    <row r="1576" spans="1:10" ht="15.75" thickBot="1">
      <c r="A1576" s="481"/>
      <c r="B1576" s="474"/>
      <c r="C1576" s="474"/>
      <c r="D1576" s="474"/>
      <c r="E1576" s="474"/>
      <c r="F1576" s="474"/>
      <c r="G1576" s="482"/>
      <c r="H1576" s="482"/>
    </row>
    <row r="1577" spans="1:10" ht="15.75" thickBot="1">
      <c r="A1577" s="436"/>
      <c r="B1577" s="436"/>
      <c r="C1577" s="436"/>
      <c r="D1577" s="436"/>
      <c r="E1577" s="436"/>
      <c r="F1577" s="436"/>
      <c r="G1577" s="437" t="s">
        <v>86</v>
      </c>
      <c r="H1577" s="466">
        <f>SUM(G1572:G1576)</f>
        <v>9500</v>
      </c>
    </row>
    <row r="1578" spans="1:10" ht="15.75" thickBot="1">
      <c r="A1578" s="436"/>
      <c r="B1578" s="436"/>
      <c r="C1578" s="436"/>
      <c r="D1578" s="436"/>
      <c r="E1578" s="436"/>
      <c r="F1578" s="436"/>
      <c r="G1578" s="483"/>
      <c r="H1578" s="436"/>
    </row>
    <row r="1579" spans="1:10" ht="15.75" thickBot="1">
      <c r="A1579" s="436"/>
      <c r="B1579" s="436"/>
      <c r="C1579" s="436"/>
      <c r="D1579" s="436"/>
      <c r="E1579" s="484" t="s">
        <v>102</v>
      </c>
      <c r="F1579" s="485"/>
      <c r="G1579" s="485"/>
      <c r="H1579" s="466">
        <f>H1556+H1564+H1569+H1577</f>
        <v>22998</v>
      </c>
      <c r="J1579" s="503"/>
    </row>
    <row r="1580" spans="1:10" ht="15.75" thickBot="1">
      <c r="A1580" s="450" t="s">
        <v>103</v>
      </c>
      <c r="B1580" s="450"/>
      <c r="C1580" s="436"/>
      <c r="D1580" s="436"/>
      <c r="E1580" s="436"/>
      <c r="F1580" s="436"/>
      <c r="G1580" s="436"/>
      <c r="H1580" s="436"/>
    </row>
    <row r="1581" spans="1:10">
      <c r="A1581" s="487" t="s">
        <v>80</v>
      </c>
      <c r="B1581" s="488"/>
      <c r="C1581" s="488"/>
      <c r="D1581" s="488"/>
      <c r="E1581" s="489"/>
      <c r="F1581" s="490" t="s">
        <v>104</v>
      </c>
      <c r="G1581" s="491" t="s">
        <v>105</v>
      </c>
      <c r="H1581" s="457"/>
    </row>
    <row r="1582" spans="1:10">
      <c r="A1582" s="469" t="s">
        <v>106</v>
      </c>
      <c r="B1582" s="467"/>
      <c r="C1582" s="467"/>
      <c r="D1582" s="467"/>
      <c r="E1582" s="468"/>
      <c r="F1582" s="492">
        <f>PRESUPUESTO!$E$222</f>
        <v>0.109</v>
      </c>
      <c r="G1582" s="493">
        <f>+F1582*H1579</f>
        <v>2506.7820000000002</v>
      </c>
      <c r="H1582" s="460"/>
    </row>
    <row r="1583" spans="1:10">
      <c r="A1583" s="469" t="s">
        <v>107</v>
      </c>
      <c r="B1583" s="467"/>
      <c r="C1583" s="467"/>
      <c r="D1583" s="467"/>
      <c r="E1583" s="468"/>
      <c r="F1583" s="492">
        <f>PRESUPUESTO!$E$223</f>
        <v>0.05</v>
      </c>
      <c r="G1583" s="493">
        <f>+F1583*H1579</f>
        <v>1149.9000000000001</v>
      </c>
      <c r="H1583" s="460"/>
    </row>
    <row r="1584" spans="1:10" ht="15.75" thickBot="1">
      <c r="A1584" s="472" t="s">
        <v>108</v>
      </c>
      <c r="B1584" s="473"/>
      <c r="C1584" s="473"/>
      <c r="D1584" s="473"/>
      <c r="E1584" s="474"/>
      <c r="F1584" s="494">
        <v>0</v>
      </c>
      <c r="G1584" s="495">
        <f>+F1584*H1579</f>
        <v>0</v>
      </c>
      <c r="H1584" s="465"/>
    </row>
    <row r="1585" spans="1:10" ht="15.75" thickBot="1">
      <c r="A1585" s="436"/>
      <c r="B1585" s="436"/>
      <c r="C1585" s="436"/>
      <c r="D1585" s="436"/>
      <c r="E1585" s="436"/>
      <c r="F1585" s="436"/>
      <c r="G1585" s="437" t="s">
        <v>86</v>
      </c>
      <c r="H1585" s="496">
        <f>SUM(G1582:G1584)</f>
        <v>3656.6820000000002</v>
      </c>
    </row>
    <row r="1586" spans="1:10" ht="15.75" thickBot="1">
      <c r="A1586" s="436"/>
      <c r="B1586" s="436"/>
      <c r="C1586" s="436"/>
      <c r="D1586" s="436"/>
      <c r="E1586" s="436"/>
      <c r="F1586" s="436"/>
      <c r="G1586" s="436"/>
      <c r="H1586" s="436"/>
    </row>
    <row r="1587" spans="1:10" ht="15.75" thickBot="1">
      <c r="A1587" s="446"/>
      <c r="B1587" s="446"/>
      <c r="C1587" s="436"/>
      <c r="D1587" s="484" t="s">
        <v>109</v>
      </c>
      <c r="E1587" s="485"/>
      <c r="F1587" s="485"/>
      <c r="G1587" s="485"/>
      <c r="H1587" s="466">
        <f>ROUND((H1579+H1585),0)</f>
        <v>26655</v>
      </c>
    </row>
    <row r="1588" spans="1:10">
      <c r="A1588" s="446"/>
      <c r="B1588" s="446"/>
      <c r="C1588" s="446"/>
      <c r="D1588" s="446"/>
      <c r="E1588" s="446"/>
      <c r="F1588" s="446"/>
      <c r="G1588" s="446"/>
      <c r="H1588" s="446"/>
    </row>
    <row r="1589" spans="1:10">
      <c r="A1589" s="186" t="s">
        <v>77</v>
      </c>
      <c r="B1589" s="446"/>
      <c r="C1589" s="446"/>
      <c r="D1589" s="446"/>
      <c r="E1589" s="446"/>
      <c r="F1589" s="446"/>
      <c r="G1589" s="446"/>
      <c r="H1589" s="446"/>
    </row>
    <row r="1590" spans="1:10" ht="15.75" thickBot="1">
      <c r="A1590" s="446"/>
      <c r="B1590" s="446"/>
      <c r="C1590" s="446"/>
      <c r="D1590" s="446"/>
      <c r="E1590" s="446"/>
      <c r="F1590" s="446"/>
      <c r="G1590" s="446"/>
      <c r="H1590" s="446"/>
    </row>
    <row r="1591" spans="1:10">
      <c r="A1591" s="1348" t="s">
        <v>213</v>
      </c>
      <c r="B1591" s="1349"/>
      <c r="C1591" s="1350"/>
      <c r="D1591" s="448"/>
      <c r="E1591" s="448"/>
      <c r="F1591" s="448"/>
      <c r="G1591" s="448"/>
      <c r="H1591" s="449"/>
    </row>
    <row r="1592" spans="1:10">
      <c r="A1592" s="1351"/>
      <c r="B1592" s="1352"/>
      <c r="C1592" s="1353"/>
      <c r="D1592" s="436"/>
      <c r="E1592" s="450" t="s">
        <v>78</v>
      </c>
      <c r="F1592" s="436"/>
      <c r="G1592" s="436"/>
      <c r="H1592" s="451"/>
    </row>
    <row r="1593" spans="1:10" ht="15.75" thickBot="1">
      <c r="A1593" s="1354"/>
      <c r="B1593" s="1355"/>
      <c r="C1593" s="1356"/>
      <c r="D1593" s="1360"/>
      <c r="E1593" s="1361"/>
      <c r="F1593" s="1361"/>
      <c r="G1593" s="1361"/>
      <c r="H1593" s="1362"/>
    </row>
    <row r="1594" spans="1:10">
      <c r="A1594" s="455"/>
      <c r="B1594" s="436"/>
      <c r="C1594" s="436"/>
      <c r="D1594" s="436"/>
      <c r="E1594" s="436"/>
      <c r="F1594" s="436"/>
      <c r="G1594" s="436"/>
      <c r="H1594" s="436"/>
    </row>
    <row r="1595" spans="1:10" s="446" customFormat="1" ht="12.75">
      <c r="A1595" s="455" t="s">
        <v>1146</v>
      </c>
      <c r="B1595" s="456" t="str">
        <f>+PRESUPUESTO!$B$70</f>
        <v>INSTALACIONES ELÉCTRICAS</v>
      </c>
      <c r="C1595" s="436"/>
      <c r="E1595" s="456"/>
      <c r="G1595" s="456" t="s">
        <v>1123</v>
      </c>
      <c r="H1595" s="483" t="s">
        <v>1197</v>
      </c>
      <c r="I1595" s="436"/>
      <c r="J1595" s="436"/>
    </row>
    <row r="1596" spans="1:10" s="931" customFormat="1" ht="52.15" customHeight="1">
      <c r="A1596" s="928" t="s">
        <v>1122</v>
      </c>
      <c r="B1596" s="1375" t="str">
        <f>VLOOKUP(H1595,PRESUPUESTO!$A$18:$F$251,2,FALSE)</f>
        <v>Suministro, Transporte e Instalacion Salida eléctrica para toma corriente  doble con polo a tierra monofásico 15A, 125V y según  NEMA 5-15R .Incluye toma marca Leviton o similar color blanco con  placa de nylon, encintada, ducto EMT 3/4" ,cajas metalica 12x12x5cm, conductores cobre #12 AWG AWG-THWN-THHN y demás accesorios necesarios para su correcta instalación. (salida de 3m)</v>
      </c>
      <c r="C1596" s="1375"/>
      <c r="D1596" s="1375"/>
      <c r="E1596" s="1375"/>
      <c r="F1596" s="1375"/>
      <c r="G1596" s="929" t="s">
        <v>9</v>
      </c>
      <c r="H1596" s="1024" t="str">
        <f>VLOOKUP(H1595,PRESUPUESTO!$A$18:$F$251,3,FALSE)</f>
        <v>un</v>
      </c>
    </row>
    <row r="1597" spans="1:10">
      <c r="A1597" s="456"/>
      <c r="B1597" s="456"/>
      <c r="C1597" s="436"/>
      <c r="D1597" s="456"/>
      <c r="E1597" s="456"/>
      <c r="F1597" s="456"/>
      <c r="G1597" s="456"/>
      <c r="H1597" s="436"/>
    </row>
    <row r="1598" spans="1:10" ht="15.75" thickBot="1">
      <c r="A1598" s="450" t="s">
        <v>79</v>
      </c>
      <c r="B1598" s="450"/>
      <c r="C1598" s="436"/>
      <c r="D1598" s="436"/>
      <c r="E1598" s="436"/>
      <c r="F1598" s="436"/>
      <c r="G1598" s="436"/>
      <c r="H1598" s="436"/>
    </row>
    <row r="1599" spans="1:10">
      <c r="A1599" s="1345" t="s">
        <v>80</v>
      </c>
      <c r="B1599" s="1346"/>
      <c r="C1599" s="1347"/>
      <c r="D1599" s="438" t="s">
        <v>81</v>
      </c>
      <c r="E1599" s="438" t="s">
        <v>82</v>
      </c>
      <c r="F1599" s="438" t="s">
        <v>83</v>
      </c>
      <c r="G1599" s="439" t="s">
        <v>84</v>
      </c>
      <c r="H1599" s="457"/>
    </row>
    <row r="1600" spans="1:10">
      <c r="A1600" s="1357" t="s">
        <v>471</v>
      </c>
      <c r="B1600" s="1358"/>
      <c r="C1600" s="1359"/>
      <c r="D1600" s="459" t="s">
        <v>268</v>
      </c>
      <c r="E1600" s="440">
        <f>+H1631*0.05</f>
        <v>3486.2000000000003</v>
      </c>
      <c r="F1600" s="440">
        <v>1</v>
      </c>
      <c r="G1600" s="432">
        <f>E1600*F1600</f>
        <v>3486.2000000000003</v>
      </c>
      <c r="H1600" s="460"/>
    </row>
    <row r="1601" spans="1:8">
      <c r="A1601" s="1357"/>
      <c r="B1601" s="1358"/>
      <c r="C1601" s="1359"/>
      <c r="D1601" s="461"/>
      <c r="E1601" s="462"/>
      <c r="F1601" s="497"/>
      <c r="G1601" s="432">
        <f>E1601*F1601</f>
        <v>0</v>
      </c>
      <c r="H1601" s="460"/>
    </row>
    <row r="1602" spans="1:8" ht="15.75" thickBot="1">
      <c r="A1602" s="1342"/>
      <c r="B1602" s="1343"/>
      <c r="C1602" s="1344"/>
      <c r="D1602" s="464"/>
      <c r="E1602" s="433"/>
      <c r="F1602" s="434"/>
      <c r="G1602" s="441">
        <f>E1602*F1602</f>
        <v>0</v>
      </c>
      <c r="H1602" s="465"/>
    </row>
    <row r="1603" spans="1:8" ht="15.75" thickBot="1">
      <c r="A1603" s="436"/>
      <c r="B1603" s="436"/>
      <c r="C1603" s="436"/>
      <c r="D1603" s="436"/>
      <c r="E1603" s="436"/>
      <c r="F1603" s="436"/>
      <c r="G1603" s="437" t="s">
        <v>86</v>
      </c>
      <c r="H1603" s="466">
        <f>SUM(G1600:G1602)</f>
        <v>3486.2000000000003</v>
      </c>
    </row>
    <row r="1604" spans="1:8" ht="15.75" thickBot="1">
      <c r="A1604" s="450" t="s">
        <v>87</v>
      </c>
      <c r="B1604" s="450"/>
      <c r="C1604" s="436"/>
      <c r="D1604" s="436"/>
      <c r="E1604" s="436"/>
      <c r="F1604" s="436"/>
      <c r="G1604" s="436"/>
      <c r="H1604" s="436"/>
    </row>
    <row r="1605" spans="1:8">
      <c r="A1605" s="1345" t="s">
        <v>80</v>
      </c>
      <c r="B1605" s="1346"/>
      <c r="C1605" s="1347"/>
      <c r="D1605" s="438" t="s">
        <v>88</v>
      </c>
      <c r="E1605" s="438" t="s">
        <v>89</v>
      </c>
      <c r="F1605" s="438" t="s">
        <v>90</v>
      </c>
      <c r="G1605" s="439" t="s">
        <v>84</v>
      </c>
      <c r="H1605" s="457"/>
    </row>
    <row r="1606" spans="1:8" ht="15" customHeight="1">
      <c r="A1606" s="458" t="s">
        <v>443</v>
      </c>
      <c r="B1606" s="467"/>
      <c r="C1606" s="468"/>
      <c r="D1606" s="459" t="s">
        <v>268</v>
      </c>
      <c r="E1606" s="430">
        <v>246</v>
      </c>
      <c r="F1606" s="440">
        <v>8</v>
      </c>
      <c r="G1606" s="445">
        <f>E1606*F1606</f>
        <v>1968</v>
      </c>
      <c r="H1606" s="460"/>
    </row>
    <row r="1607" spans="1:8" ht="15" customHeight="1">
      <c r="A1607" s="458" t="s">
        <v>458</v>
      </c>
      <c r="B1607" s="467"/>
      <c r="C1607" s="468"/>
      <c r="D1607" s="459" t="s">
        <v>268</v>
      </c>
      <c r="E1607" s="430">
        <v>9100</v>
      </c>
      <c r="F1607" s="440">
        <v>1</v>
      </c>
      <c r="G1607" s="445">
        <f t="shared" ref="G1607:G1615" si="8">E1607*F1607</f>
        <v>9100</v>
      </c>
      <c r="H1607" s="460"/>
    </row>
    <row r="1608" spans="1:8" ht="15" customHeight="1">
      <c r="A1608" s="458" t="s">
        <v>454</v>
      </c>
      <c r="B1608" s="467"/>
      <c r="C1608" s="468"/>
      <c r="D1608" s="459" t="s">
        <v>268</v>
      </c>
      <c r="E1608" s="430">
        <v>14000</v>
      </c>
      <c r="F1608" s="440">
        <v>3</v>
      </c>
      <c r="G1608" s="445">
        <f t="shared" si="8"/>
        <v>42000</v>
      </c>
      <c r="H1608" s="460"/>
    </row>
    <row r="1609" spans="1:8" ht="15" customHeight="1">
      <c r="A1609" s="458" t="s">
        <v>452</v>
      </c>
      <c r="B1609" s="467"/>
      <c r="C1609" s="468"/>
      <c r="D1609" s="459" t="s">
        <v>268</v>
      </c>
      <c r="E1609" s="430">
        <v>190</v>
      </c>
      <c r="F1609" s="440">
        <v>3</v>
      </c>
      <c r="G1609" s="445">
        <f t="shared" si="8"/>
        <v>570</v>
      </c>
      <c r="H1609" s="460"/>
    </row>
    <row r="1610" spans="1:8" ht="15" customHeight="1">
      <c r="A1610" s="458" t="s">
        <v>455</v>
      </c>
      <c r="B1610" s="467"/>
      <c r="C1610" s="468"/>
      <c r="D1610" s="459" t="s">
        <v>268</v>
      </c>
      <c r="E1610" s="430">
        <v>900</v>
      </c>
      <c r="F1610" s="440">
        <v>1</v>
      </c>
      <c r="G1610" s="445">
        <f t="shared" si="8"/>
        <v>900</v>
      </c>
      <c r="H1610" s="460"/>
    </row>
    <row r="1611" spans="1:8" ht="15" customHeight="1">
      <c r="A1611" s="458" t="s">
        <v>456</v>
      </c>
      <c r="B1611" s="467"/>
      <c r="C1611" s="468"/>
      <c r="D1611" s="459" t="s">
        <v>268</v>
      </c>
      <c r="E1611" s="430">
        <v>900</v>
      </c>
      <c r="F1611" s="440">
        <v>2</v>
      </c>
      <c r="G1611" s="445">
        <f t="shared" si="8"/>
        <v>1800</v>
      </c>
      <c r="H1611" s="460"/>
    </row>
    <row r="1612" spans="1:8" ht="15" customHeight="1">
      <c r="A1612" s="458" t="s">
        <v>453</v>
      </c>
      <c r="B1612" s="467"/>
      <c r="C1612" s="468"/>
      <c r="D1612" s="459" t="s">
        <v>268</v>
      </c>
      <c r="E1612" s="430">
        <v>1200</v>
      </c>
      <c r="F1612" s="440">
        <v>0.2</v>
      </c>
      <c r="G1612" s="445">
        <f t="shared" si="8"/>
        <v>240</v>
      </c>
      <c r="H1612" s="460"/>
    </row>
    <row r="1613" spans="1:8" ht="15" customHeight="1">
      <c r="A1613" s="458" t="s">
        <v>459</v>
      </c>
      <c r="B1613" s="467"/>
      <c r="C1613" s="468"/>
      <c r="D1613" s="459" t="s">
        <v>268</v>
      </c>
      <c r="E1613" s="1009">
        <f>2723*1.19</f>
        <v>3240.37</v>
      </c>
      <c r="F1613" s="440">
        <f>9*1.05</f>
        <v>9.4500000000000011</v>
      </c>
      <c r="G1613" s="445">
        <f t="shared" si="8"/>
        <v>30621.496500000001</v>
      </c>
      <c r="H1613" s="460"/>
    </row>
    <row r="1614" spans="1:8" ht="15" customHeight="1">
      <c r="A1614" s="458" t="s">
        <v>446</v>
      </c>
      <c r="B1614" s="467"/>
      <c r="C1614" s="468"/>
      <c r="D1614" s="459" t="s">
        <v>268</v>
      </c>
      <c r="E1614" s="430">
        <v>220</v>
      </c>
      <c r="F1614" s="440">
        <v>3</v>
      </c>
      <c r="G1614" s="445">
        <f t="shared" si="8"/>
        <v>660</v>
      </c>
      <c r="H1614" s="460"/>
    </row>
    <row r="1615" spans="1:8">
      <c r="A1615" s="469" t="s">
        <v>460</v>
      </c>
      <c r="B1615" s="467"/>
      <c r="C1615" s="468"/>
      <c r="D1615" s="459" t="s">
        <v>268</v>
      </c>
      <c r="E1615" s="430">
        <v>8900</v>
      </c>
      <c r="F1615" s="440">
        <v>1</v>
      </c>
      <c r="G1615" s="445">
        <f t="shared" si="8"/>
        <v>8900</v>
      </c>
      <c r="H1615" s="460"/>
    </row>
    <row r="1616" spans="1:8" ht="15" customHeight="1">
      <c r="A1616" s="469" t="s">
        <v>447</v>
      </c>
      <c r="B1616" s="467"/>
      <c r="C1616" s="471"/>
      <c r="D1616" s="459" t="s">
        <v>268</v>
      </c>
      <c r="E1616" s="430">
        <v>4200</v>
      </c>
      <c r="F1616" s="440">
        <v>0.02</v>
      </c>
      <c r="G1616" s="445">
        <f>(F1616)*E1616</f>
        <v>84</v>
      </c>
      <c r="H1616" s="460"/>
    </row>
    <row r="1617" spans="1:8" ht="15.75" thickBot="1">
      <c r="A1617" s="499" t="s">
        <v>448</v>
      </c>
      <c r="B1617" s="500"/>
      <c r="C1617" s="501"/>
      <c r="D1617" s="464" t="s">
        <v>268</v>
      </c>
      <c r="E1617" s="1014">
        <v>39900</v>
      </c>
      <c r="F1617" s="502">
        <v>0.02</v>
      </c>
      <c r="G1617" s="441">
        <f>E1617*F1617</f>
        <v>798</v>
      </c>
      <c r="H1617" s="465"/>
    </row>
    <row r="1618" spans="1:8" ht="15.75" thickBot="1">
      <c r="A1618" s="436"/>
      <c r="B1618" s="436"/>
      <c r="C1618" s="436"/>
      <c r="D1618" s="436"/>
      <c r="E1618" s="436"/>
      <c r="F1618" s="436"/>
      <c r="G1618" s="437" t="s">
        <v>86</v>
      </c>
      <c r="H1618" s="466">
        <f>SUM(G1606:G1617)</f>
        <v>97641.496500000008</v>
      </c>
    </row>
    <row r="1619" spans="1:8" ht="15.75" thickBot="1">
      <c r="A1619" s="450" t="s">
        <v>94</v>
      </c>
      <c r="B1619" s="450"/>
      <c r="C1619" s="436"/>
      <c r="D1619" s="436"/>
      <c r="E1619" s="436"/>
      <c r="F1619" s="436"/>
      <c r="G1619" s="436"/>
      <c r="H1619" s="436"/>
    </row>
    <row r="1620" spans="1:8">
      <c r="A1620" s="1345" t="s">
        <v>95</v>
      </c>
      <c r="B1620" s="1346"/>
      <c r="C1620" s="1347"/>
      <c r="D1620" s="438" t="s">
        <v>88</v>
      </c>
      <c r="E1620" s="438" t="s">
        <v>89</v>
      </c>
      <c r="F1620" s="438" t="s">
        <v>90</v>
      </c>
      <c r="G1620" s="439" t="s">
        <v>84</v>
      </c>
      <c r="H1620" s="457"/>
    </row>
    <row r="1621" spans="1:8">
      <c r="A1621" s="458" t="s">
        <v>235</v>
      </c>
      <c r="B1621" s="467"/>
      <c r="C1621" s="468"/>
      <c r="D1621" s="459" t="s">
        <v>268</v>
      </c>
      <c r="E1621" s="430">
        <v>6800</v>
      </c>
      <c r="F1621" s="440">
        <v>1</v>
      </c>
      <c r="G1621" s="432">
        <f>E1621*F1621</f>
        <v>6800</v>
      </c>
      <c r="H1621" s="460"/>
    </row>
    <row r="1622" spans="1:8" ht="15.75" thickBot="1">
      <c r="A1622" s="1342"/>
      <c r="B1622" s="1343"/>
      <c r="C1622" s="1344"/>
      <c r="D1622" s="475"/>
      <c r="E1622" s="433"/>
      <c r="F1622" s="434"/>
      <c r="G1622" s="441"/>
      <c r="H1622" s="460"/>
    </row>
    <row r="1623" spans="1:8" ht="15.75" thickBot="1">
      <c r="A1623" s="436"/>
      <c r="B1623" s="436"/>
      <c r="C1623" s="436"/>
      <c r="D1623" s="436"/>
      <c r="E1623" s="436"/>
      <c r="F1623" s="436"/>
      <c r="G1623" s="437" t="s">
        <v>86</v>
      </c>
      <c r="H1623" s="466">
        <f>SUM(G1621:G1622)</f>
        <v>6800</v>
      </c>
    </row>
    <row r="1624" spans="1:8" ht="15.75" thickBot="1">
      <c r="A1624" s="450" t="s">
        <v>96</v>
      </c>
      <c r="B1624" s="450"/>
      <c r="C1624" s="436"/>
      <c r="D1624" s="436"/>
      <c r="E1624" s="436"/>
      <c r="F1624" s="436"/>
      <c r="G1624" s="436"/>
      <c r="H1624" s="436"/>
    </row>
    <row r="1625" spans="1:8">
      <c r="A1625" s="476" t="s">
        <v>97</v>
      </c>
      <c r="B1625" s="438"/>
      <c r="C1625" s="438" t="s">
        <v>98</v>
      </c>
      <c r="D1625" s="438" t="s">
        <v>99</v>
      </c>
      <c r="E1625" s="442" t="s">
        <v>100</v>
      </c>
      <c r="F1625" s="443" t="s">
        <v>83</v>
      </c>
      <c r="G1625" s="444" t="s">
        <v>84</v>
      </c>
      <c r="H1625" s="477"/>
    </row>
    <row r="1626" spans="1:8">
      <c r="A1626" s="478" t="s">
        <v>1109</v>
      </c>
      <c r="B1626" s="467"/>
      <c r="C1626" s="479">
        <f>+PERSONAL!$E$34</f>
        <v>100000</v>
      </c>
      <c r="D1626" s="480">
        <f>PERSONAL!$F$31</f>
        <v>1.7431000000000001</v>
      </c>
      <c r="E1626" s="440">
        <f>+D1626*C1626</f>
        <v>174310</v>
      </c>
      <c r="F1626" s="440">
        <v>2.5</v>
      </c>
      <c r="G1626" s="445">
        <f>ROUND(E1626/F1626,0)</f>
        <v>69724</v>
      </c>
      <c r="H1626" s="451"/>
    </row>
    <row r="1627" spans="1:8">
      <c r="A1627" s="478"/>
      <c r="B1627" s="467"/>
      <c r="C1627" s="479"/>
      <c r="D1627" s="480"/>
      <c r="E1627" s="440"/>
      <c r="F1627" s="440"/>
      <c r="G1627" s="445"/>
      <c r="H1627" s="451"/>
    </row>
    <row r="1628" spans="1:8">
      <c r="A1628" s="478"/>
      <c r="B1628" s="468"/>
      <c r="C1628" s="430"/>
      <c r="D1628" s="459"/>
      <c r="E1628" s="430"/>
      <c r="F1628" s="440"/>
      <c r="G1628" s="445"/>
      <c r="H1628" s="451"/>
    </row>
    <row r="1629" spans="1:8">
      <c r="A1629" s="478"/>
      <c r="B1629" s="468"/>
      <c r="C1629" s="430"/>
      <c r="D1629" s="459"/>
      <c r="E1629" s="430"/>
      <c r="F1629" s="440"/>
      <c r="G1629" s="445"/>
      <c r="H1629" s="451"/>
    </row>
    <row r="1630" spans="1:8" ht="15.75" thickBot="1">
      <c r="A1630" s="481"/>
      <c r="B1630" s="474"/>
      <c r="C1630" s="474"/>
      <c r="D1630" s="474"/>
      <c r="E1630" s="474"/>
      <c r="F1630" s="474"/>
      <c r="G1630" s="482"/>
      <c r="H1630" s="482"/>
    </row>
    <row r="1631" spans="1:8" ht="15.75" thickBot="1">
      <c r="A1631" s="436"/>
      <c r="B1631" s="436"/>
      <c r="C1631" s="436"/>
      <c r="D1631" s="436"/>
      <c r="E1631" s="436"/>
      <c r="F1631" s="436"/>
      <c r="G1631" s="437" t="s">
        <v>86</v>
      </c>
      <c r="H1631" s="466">
        <f>SUM(G1626:G1630)</f>
        <v>69724</v>
      </c>
    </row>
    <row r="1632" spans="1:8" ht="15.75" thickBot="1">
      <c r="A1632" s="436"/>
      <c r="B1632" s="436"/>
      <c r="C1632" s="436"/>
      <c r="D1632" s="436"/>
      <c r="E1632" s="436"/>
      <c r="F1632" s="436"/>
      <c r="G1632" s="483"/>
      <c r="H1632" s="436"/>
    </row>
    <row r="1633" spans="1:8" ht="15.75" thickBot="1">
      <c r="A1633" s="436"/>
      <c r="B1633" s="436"/>
      <c r="C1633" s="436"/>
      <c r="D1633" s="436"/>
      <c r="E1633" s="484" t="s">
        <v>102</v>
      </c>
      <c r="F1633" s="485"/>
      <c r="G1633" s="485"/>
      <c r="H1633" s="466">
        <f>H1603+H1618+H1623+H1631</f>
        <v>177651.69650000002</v>
      </c>
    </row>
    <row r="1634" spans="1:8" ht="15.75" thickBot="1">
      <c r="A1634" s="450" t="s">
        <v>103</v>
      </c>
      <c r="B1634" s="450"/>
      <c r="C1634" s="436"/>
      <c r="D1634" s="436"/>
      <c r="E1634" s="436"/>
      <c r="F1634" s="436"/>
      <c r="G1634" s="436"/>
      <c r="H1634" s="436"/>
    </row>
    <row r="1635" spans="1:8">
      <c r="A1635" s="487" t="s">
        <v>80</v>
      </c>
      <c r="B1635" s="488"/>
      <c r="C1635" s="488"/>
      <c r="D1635" s="488"/>
      <c r="E1635" s="489"/>
      <c r="F1635" s="490" t="s">
        <v>104</v>
      </c>
      <c r="G1635" s="491" t="s">
        <v>105</v>
      </c>
      <c r="H1635" s="457"/>
    </row>
    <row r="1636" spans="1:8">
      <c r="A1636" s="469" t="s">
        <v>106</v>
      </c>
      <c r="B1636" s="467"/>
      <c r="C1636" s="467"/>
      <c r="D1636" s="467"/>
      <c r="E1636" s="468"/>
      <c r="F1636" s="492">
        <f>PRESUPUESTO!$E$222</f>
        <v>0.109</v>
      </c>
      <c r="G1636" s="493">
        <f>+F1636*H1633</f>
        <v>19364.034918500001</v>
      </c>
      <c r="H1636" s="460"/>
    </row>
    <row r="1637" spans="1:8">
      <c r="A1637" s="469" t="s">
        <v>107</v>
      </c>
      <c r="B1637" s="467"/>
      <c r="C1637" s="467"/>
      <c r="D1637" s="467"/>
      <c r="E1637" s="468"/>
      <c r="F1637" s="492">
        <f>PRESUPUESTO!$E$223</f>
        <v>0.05</v>
      </c>
      <c r="G1637" s="493">
        <f>+F1637*H1633</f>
        <v>8882.5848250000017</v>
      </c>
      <c r="H1637" s="460"/>
    </row>
    <row r="1638" spans="1:8" ht="15.75" thickBot="1">
      <c r="A1638" s="472" t="s">
        <v>108</v>
      </c>
      <c r="B1638" s="473"/>
      <c r="C1638" s="473"/>
      <c r="D1638" s="473"/>
      <c r="E1638" s="474"/>
      <c r="F1638" s="494">
        <v>0</v>
      </c>
      <c r="G1638" s="495">
        <f>+F1638*H1633</f>
        <v>0</v>
      </c>
      <c r="H1638" s="465"/>
    </row>
    <row r="1639" spans="1:8" ht="15.75" thickBot="1">
      <c r="A1639" s="436"/>
      <c r="B1639" s="436"/>
      <c r="C1639" s="436"/>
      <c r="D1639" s="436"/>
      <c r="E1639" s="436"/>
      <c r="F1639" s="436"/>
      <c r="G1639" s="437" t="s">
        <v>86</v>
      </c>
      <c r="H1639" s="496">
        <f>SUM(G1636:G1638)</f>
        <v>28246.619743500003</v>
      </c>
    </row>
    <row r="1640" spans="1:8" ht="15.75" thickBot="1">
      <c r="A1640" s="436"/>
      <c r="B1640" s="436"/>
      <c r="C1640" s="436"/>
      <c r="D1640" s="436"/>
      <c r="E1640" s="436"/>
      <c r="F1640" s="436"/>
      <c r="G1640" s="436"/>
      <c r="H1640" s="436"/>
    </row>
    <row r="1641" spans="1:8" ht="15.75" thickBot="1">
      <c r="A1641" s="446"/>
      <c r="B1641" s="446"/>
      <c r="C1641" s="436"/>
      <c r="D1641" s="484" t="s">
        <v>109</v>
      </c>
      <c r="E1641" s="485"/>
      <c r="F1641" s="485"/>
      <c r="G1641" s="485"/>
      <c r="H1641" s="466">
        <f>ROUND((H1633+H1639),0)</f>
        <v>205898</v>
      </c>
    </row>
    <row r="1643" spans="1:8">
      <c r="A1643" s="186" t="s">
        <v>77</v>
      </c>
      <c r="B1643" s="446"/>
      <c r="C1643" s="446"/>
      <c r="D1643" s="446"/>
      <c r="E1643" s="446"/>
      <c r="F1643" s="446"/>
      <c r="G1643" s="446"/>
      <c r="H1643" s="446"/>
    </row>
    <row r="1644" spans="1:8" ht="15.75" thickBot="1">
      <c r="A1644" s="446"/>
      <c r="B1644" s="446"/>
      <c r="C1644" s="446"/>
      <c r="D1644" s="446"/>
      <c r="E1644" s="446"/>
      <c r="F1644" s="446"/>
      <c r="G1644" s="446"/>
      <c r="H1644" s="446"/>
    </row>
    <row r="1645" spans="1:8">
      <c r="A1645" s="1348" t="s">
        <v>213</v>
      </c>
      <c r="B1645" s="1349"/>
      <c r="C1645" s="1350"/>
      <c r="D1645" s="448"/>
      <c r="E1645" s="448"/>
      <c r="F1645" s="448"/>
      <c r="G1645" s="448"/>
      <c r="H1645" s="449"/>
    </row>
    <row r="1646" spans="1:8">
      <c r="A1646" s="1351"/>
      <c r="B1646" s="1352"/>
      <c r="C1646" s="1353"/>
      <c r="D1646" s="436"/>
      <c r="E1646" s="450" t="s">
        <v>78</v>
      </c>
      <c r="F1646" s="436"/>
      <c r="G1646" s="436"/>
      <c r="H1646" s="451"/>
    </row>
    <row r="1647" spans="1:8" ht="15.75" thickBot="1">
      <c r="A1647" s="1354"/>
      <c r="B1647" s="1355"/>
      <c r="C1647" s="1356"/>
      <c r="D1647" s="1360"/>
      <c r="E1647" s="1361"/>
      <c r="F1647" s="1361"/>
      <c r="G1647" s="1361"/>
      <c r="H1647" s="1362"/>
    </row>
    <row r="1648" spans="1:8">
      <c r="A1648" s="455"/>
      <c r="B1648" s="436"/>
      <c r="C1648" s="436"/>
      <c r="D1648" s="436"/>
      <c r="E1648" s="436"/>
      <c r="F1648" s="436"/>
      <c r="G1648" s="436"/>
      <c r="H1648" s="436"/>
    </row>
    <row r="1649" spans="1:10" s="446" customFormat="1" ht="12.75">
      <c r="A1649" s="455" t="s">
        <v>1146</v>
      </c>
      <c r="B1649" s="456" t="str">
        <f>+PRESUPUESTO!$B$70</f>
        <v>INSTALACIONES ELÉCTRICAS</v>
      </c>
      <c r="C1649" s="436"/>
      <c r="E1649" s="456"/>
      <c r="G1649" s="456" t="s">
        <v>1123</v>
      </c>
      <c r="H1649" s="483" t="s">
        <v>1198</v>
      </c>
      <c r="I1649" s="436"/>
      <c r="J1649" s="436"/>
    </row>
    <row r="1650" spans="1:10" s="931" customFormat="1" ht="52.15" customHeight="1">
      <c r="A1650" s="928" t="s">
        <v>1122</v>
      </c>
      <c r="B1650" s="1375" t="str">
        <f>VLOOKUP(H1649,PRESUPUESTO!$A$18:$F$251,2,FALSE)</f>
        <v>Suministro, Transporte e Instalacion Salida eléctrica para toma corriente  GFCI y según  NEMA 5-15R .Incluye toma marca Leviton o similar color blanco con  placa de nylon, encintada, ducto PVC 1/2" ,cajas PVC 4X4, conductores cobre #12 AWG AWG-THWN-THHN y demás accesorios necesarios para su correcta instalación.(salida de 3m)</v>
      </c>
      <c r="C1650" s="1375"/>
      <c r="D1650" s="1375"/>
      <c r="E1650" s="1375"/>
      <c r="F1650" s="1375"/>
      <c r="G1650" s="929" t="s">
        <v>9</v>
      </c>
      <c r="H1650" s="1024" t="str">
        <f>VLOOKUP(H1649,PRESUPUESTO!$A$18:$F$251,3,FALSE)</f>
        <v>un</v>
      </c>
    </row>
    <row r="1651" spans="1:10">
      <c r="A1651" s="456"/>
      <c r="B1651" s="456"/>
      <c r="C1651" s="436"/>
      <c r="D1651" s="456"/>
      <c r="E1651" s="456"/>
      <c r="F1651" s="456"/>
      <c r="G1651" s="456"/>
      <c r="H1651" s="436"/>
    </row>
    <row r="1652" spans="1:10" ht="15.75" thickBot="1">
      <c r="A1652" s="450" t="s">
        <v>79</v>
      </c>
      <c r="B1652" s="450"/>
      <c r="C1652" s="436"/>
      <c r="D1652" s="436"/>
      <c r="E1652" s="436"/>
      <c r="F1652" s="436"/>
      <c r="G1652" s="436"/>
      <c r="H1652" s="436"/>
    </row>
    <row r="1653" spans="1:10">
      <c r="A1653" s="1345" t="s">
        <v>80</v>
      </c>
      <c r="B1653" s="1346"/>
      <c r="C1653" s="1347"/>
      <c r="D1653" s="438" t="s">
        <v>81</v>
      </c>
      <c r="E1653" s="438" t="s">
        <v>82</v>
      </c>
      <c r="F1653" s="438" t="s">
        <v>83</v>
      </c>
      <c r="G1653" s="439" t="s">
        <v>84</v>
      </c>
      <c r="H1653" s="457"/>
    </row>
    <row r="1654" spans="1:10">
      <c r="A1654" s="1357" t="s">
        <v>471</v>
      </c>
      <c r="B1654" s="1358"/>
      <c r="C1654" s="1359"/>
      <c r="D1654" s="459" t="s">
        <v>268</v>
      </c>
      <c r="E1654" s="440">
        <f>+H1685*0.05</f>
        <v>4357.75</v>
      </c>
      <c r="F1654" s="440">
        <v>1</v>
      </c>
      <c r="G1654" s="432">
        <f>E1654*F1654</f>
        <v>4357.75</v>
      </c>
      <c r="H1654" s="460"/>
    </row>
    <row r="1655" spans="1:10">
      <c r="A1655" s="1357"/>
      <c r="B1655" s="1358"/>
      <c r="C1655" s="1359"/>
      <c r="D1655" s="461"/>
      <c r="E1655" s="462"/>
      <c r="F1655" s="497"/>
      <c r="G1655" s="432">
        <f>E1655*F1655</f>
        <v>0</v>
      </c>
      <c r="H1655" s="460"/>
    </row>
    <row r="1656" spans="1:10" ht="15.75" thickBot="1">
      <c r="A1656" s="1342"/>
      <c r="B1656" s="1343"/>
      <c r="C1656" s="1344"/>
      <c r="D1656" s="464"/>
      <c r="E1656" s="433"/>
      <c r="F1656" s="434"/>
      <c r="G1656" s="441">
        <f>E1656*F1656</f>
        <v>0</v>
      </c>
      <c r="H1656" s="465"/>
    </row>
    <row r="1657" spans="1:10" ht="15.75" thickBot="1">
      <c r="A1657" s="436"/>
      <c r="B1657" s="436"/>
      <c r="C1657" s="436"/>
      <c r="D1657" s="436"/>
      <c r="E1657" s="436"/>
      <c r="F1657" s="436"/>
      <c r="G1657" s="437" t="s">
        <v>86</v>
      </c>
      <c r="H1657" s="466">
        <f>SUM(G1654:G1656)</f>
        <v>4357.75</v>
      </c>
    </row>
    <row r="1658" spans="1:10" ht="15.75" thickBot="1">
      <c r="A1658" s="450" t="s">
        <v>87</v>
      </c>
      <c r="B1658" s="450"/>
      <c r="C1658" s="436"/>
      <c r="D1658" s="436"/>
      <c r="E1658" s="436"/>
      <c r="F1658" s="436"/>
      <c r="G1658" s="436"/>
      <c r="H1658" s="436"/>
    </row>
    <row r="1659" spans="1:10">
      <c r="A1659" s="1345" t="s">
        <v>80</v>
      </c>
      <c r="B1659" s="1346"/>
      <c r="C1659" s="1347"/>
      <c r="D1659" s="438" t="s">
        <v>88</v>
      </c>
      <c r="E1659" s="438" t="s">
        <v>89</v>
      </c>
      <c r="F1659" s="438" t="s">
        <v>90</v>
      </c>
      <c r="G1659" s="439" t="s">
        <v>84</v>
      </c>
      <c r="H1659" s="457"/>
    </row>
    <row r="1660" spans="1:10">
      <c r="A1660" s="458" t="s">
        <v>443</v>
      </c>
      <c r="B1660" s="467"/>
      <c r="C1660" s="468"/>
      <c r="D1660" s="459" t="s">
        <v>268</v>
      </c>
      <c r="E1660" s="430">
        <v>246</v>
      </c>
      <c r="F1660" s="440">
        <v>8</v>
      </c>
      <c r="G1660" s="445">
        <f>E1660*F1660</f>
        <v>1968</v>
      </c>
      <c r="H1660" s="460"/>
    </row>
    <row r="1661" spans="1:10">
      <c r="A1661" s="458" t="s">
        <v>458</v>
      </c>
      <c r="B1661" s="467"/>
      <c r="C1661" s="468"/>
      <c r="D1661" s="459" t="s">
        <v>268</v>
      </c>
      <c r="E1661" s="430">
        <v>19900</v>
      </c>
      <c r="F1661" s="440">
        <v>1</v>
      </c>
      <c r="G1661" s="445">
        <f t="shared" ref="G1661:G1669" si="9">E1661*F1661</f>
        <v>19900</v>
      </c>
      <c r="H1661" s="460"/>
    </row>
    <row r="1662" spans="1:10">
      <c r="A1662" s="458" t="s">
        <v>454</v>
      </c>
      <c r="B1662" s="467"/>
      <c r="C1662" s="468"/>
      <c r="D1662" s="459" t="s">
        <v>268</v>
      </c>
      <c r="E1662" s="430">
        <v>14000</v>
      </c>
      <c r="F1662" s="440">
        <f>3*1.05</f>
        <v>3.1500000000000004</v>
      </c>
      <c r="G1662" s="445">
        <f t="shared" si="9"/>
        <v>44100.000000000007</v>
      </c>
      <c r="H1662" s="460"/>
    </row>
    <row r="1663" spans="1:10">
      <c r="A1663" s="458" t="s">
        <v>452</v>
      </c>
      <c r="B1663" s="467"/>
      <c r="C1663" s="468"/>
      <c r="D1663" s="459" t="s">
        <v>268</v>
      </c>
      <c r="E1663" s="430">
        <v>190</v>
      </c>
      <c r="F1663" s="440">
        <v>3</v>
      </c>
      <c r="G1663" s="445">
        <f t="shared" si="9"/>
        <v>570</v>
      </c>
      <c r="H1663" s="460"/>
    </row>
    <row r="1664" spans="1:10">
      <c r="A1664" s="458" t="s">
        <v>455</v>
      </c>
      <c r="B1664" s="467"/>
      <c r="C1664" s="468"/>
      <c r="D1664" s="459" t="s">
        <v>268</v>
      </c>
      <c r="E1664" s="430">
        <v>900</v>
      </c>
      <c r="F1664" s="440">
        <v>1</v>
      </c>
      <c r="G1664" s="445">
        <f t="shared" si="9"/>
        <v>900</v>
      </c>
      <c r="H1664" s="460"/>
    </row>
    <row r="1665" spans="1:8">
      <c r="A1665" s="458" t="s">
        <v>456</v>
      </c>
      <c r="B1665" s="467"/>
      <c r="C1665" s="468"/>
      <c r="D1665" s="459" t="s">
        <v>268</v>
      </c>
      <c r="E1665" s="430">
        <v>900</v>
      </c>
      <c r="F1665" s="440">
        <f>2.1</f>
        <v>2.1</v>
      </c>
      <c r="G1665" s="445">
        <f t="shared" si="9"/>
        <v>1890</v>
      </c>
      <c r="H1665" s="460"/>
    </row>
    <row r="1666" spans="1:8">
      <c r="A1666" s="458" t="s">
        <v>453</v>
      </c>
      <c r="B1666" s="467"/>
      <c r="C1666" s="468"/>
      <c r="D1666" s="459" t="s">
        <v>268</v>
      </c>
      <c r="E1666" s="430">
        <v>1200</v>
      </c>
      <c r="F1666" s="440">
        <v>0.2</v>
      </c>
      <c r="G1666" s="445">
        <f t="shared" si="9"/>
        <v>240</v>
      </c>
      <c r="H1666" s="460"/>
    </row>
    <row r="1667" spans="1:8">
      <c r="A1667" s="458" t="s">
        <v>459</v>
      </c>
      <c r="B1667" s="467"/>
      <c r="C1667" s="468"/>
      <c r="D1667" s="459" t="s">
        <v>268</v>
      </c>
      <c r="E1667" s="1009">
        <f>2723*1.19</f>
        <v>3240.37</v>
      </c>
      <c r="F1667" s="440">
        <f>9*1.05</f>
        <v>9.4500000000000011</v>
      </c>
      <c r="G1667" s="445">
        <f t="shared" si="9"/>
        <v>30621.496500000001</v>
      </c>
      <c r="H1667" s="460"/>
    </row>
    <row r="1668" spans="1:8">
      <c r="A1668" s="458" t="s">
        <v>446</v>
      </c>
      <c r="B1668" s="467"/>
      <c r="C1668" s="468"/>
      <c r="D1668" s="459" t="s">
        <v>268</v>
      </c>
      <c r="E1668" s="430">
        <v>220</v>
      </c>
      <c r="F1668" s="440">
        <v>3</v>
      </c>
      <c r="G1668" s="445">
        <f t="shared" si="9"/>
        <v>660</v>
      </c>
      <c r="H1668" s="460"/>
    </row>
    <row r="1669" spans="1:8">
      <c r="A1669" s="469" t="s">
        <v>461</v>
      </c>
      <c r="B1669" s="467"/>
      <c r="C1669" s="468"/>
      <c r="D1669" s="459" t="s">
        <v>268</v>
      </c>
      <c r="E1669" s="430">
        <v>72900</v>
      </c>
      <c r="F1669" s="440">
        <v>1</v>
      </c>
      <c r="G1669" s="445">
        <f t="shared" si="9"/>
        <v>72900</v>
      </c>
      <c r="H1669" s="460"/>
    </row>
    <row r="1670" spans="1:8">
      <c r="A1670" s="469" t="s">
        <v>447</v>
      </c>
      <c r="B1670" s="467"/>
      <c r="C1670" s="471"/>
      <c r="D1670" s="459" t="s">
        <v>268</v>
      </c>
      <c r="E1670" s="430">
        <v>4200</v>
      </c>
      <c r="F1670" s="440">
        <v>0.02</v>
      </c>
      <c r="G1670" s="445">
        <f>(F1670)*E1670</f>
        <v>84</v>
      </c>
      <c r="H1670" s="460"/>
    </row>
    <row r="1671" spans="1:8" ht="15.75" thickBot="1">
      <c r="A1671" s="499" t="s">
        <v>448</v>
      </c>
      <c r="B1671" s="500"/>
      <c r="C1671" s="501"/>
      <c r="D1671" s="464" t="s">
        <v>268</v>
      </c>
      <c r="E1671" s="1014">
        <v>39900</v>
      </c>
      <c r="F1671" s="502">
        <v>0.02</v>
      </c>
      <c r="G1671" s="441">
        <f>E1671*F1671</f>
        <v>798</v>
      </c>
      <c r="H1671" s="465"/>
    </row>
    <row r="1672" spans="1:8" ht="15.75" thickBot="1">
      <c r="A1672" s="436"/>
      <c r="B1672" s="436"/>
      <c r="C1672" s="436"/>
      <c r="D1672" s="436"/>
      <c r="E1672" s="436"/>
      <c r="F1672" s="436"/>
      <c r="G1672" s="437" t="s">
        <v>86</v>
      </c>
      <c r="H1672" s="466">
        <f>SUM(G1660:G1671)</f>
        <v>174631.49650000001</v>
      </c>
    </row>
    <row r="1673" spans="1:8" ht="15.75" thickBot="1">
      <c r="A1673" s="450" t="s">
        <v>94</v>
      </c>
      <c r="B1673" s="450"/>
      <c r="C1673" s="436"/>
      <c r="D1673" s="436"/>
      <c r="E1673" s="436"/>
      <c r="F1673" s="436"/>
      <c r="G1673" s="436"/>
      <c r="H1673" s="436"/>
    </row>
    <row r="1674" spans="1:8">
      <c r="A1674" s="1345" t="s">
        <v>95</v>
      </c>
      <c r="B1674" s="1346"/>
      <c r="C1674" s="1347"/>
      <c r="D1674" s="438" t="s">
        <v>88</v>
      </c>
      <c r="E1674" s="438" t="s">
        <v>89</v>
      </c>
      <c r="F1674" s="438" t="s">
        <v>90</v>
      </c>
      <c r="G1674" s="439" t="s">
        <v>84</v>
      </c>
      <c r="H1674" s="457"/>
    </row>
    <row r="1675" spans="1:8">
      <c r="A1675" s="458" t="s">
        <v>235</v>
      </c>
      <c r="B1675" s="467"/>
      <c r="C1675" s="468"/>
      <c r="D1675" s="459" t="s">
        <v>271</v>
      </c>
      <c r="E1675" s="430">
        <v>6800</v>
      </c>
      <c r="F1675" s="440">
        <v>1</v>
      </c>
      <c r="G1675" s="432">
        <f>E1675*F1675</f>
        <v>6800</v>
      </c>
      <c r="H1675" s="460"/>
    </row>
    <row r="1676" spans="1:8" ht="15.75" thickBot="1">
      <c r="A1676" s="1342"/>
      <c r="B1676" s="1343"/>
      <c r="C1676" s="1344"/>
      <c r="D1676" s="475"/>
      <c r="E1676" s="433"/>
      <c r="F1676" s="434"/>
      <c r="G1676" s="441"/>
      <c r="H1676" s="460"/>
    </row>
    <row r="1677" spans="1:8" ht="15.75" thickBot="1">
      <c r="A1677" s="436"/>
      <c r="B1677" s="436"/>
      <c r="C1677" s="436"/>
      <c r="D1677" s="436"/>
      <c r="E1677" s="436"/>
      <c r="F1677" s="436"/>
      <c r="G1677" s="437" t="s">
        <v>86</v>
      </c>
      <c r="H1677" s="466">
        <f>SUM(G1675:G1676)</f>
        <v>6800</v>
      </c>
    </row>
    <row r="1678" spans="1:8" ht="15.75" thickBot="1">
      <c r="A1678" s="450" t="s">
        <v>96</v>
      </c>
      <c r="B1678" s="450"/>
      <c r="C1678" s="436"/>
      <c r="D1678" s="436"/>
      <c r="E1678" s="436"/>
      <c r="F1678" s="436"/>
      <c r="G1678" s="436"/>
      <c r="H1678" s="436"/>
    </row>
    <row r="1679" spans="1:8">
      <c r="A1679" s="476" t="s">
        <v>97</v>
      </c>
      <c r="B1679" s="438"/>
      <c r="C1679" s="438" t="s">
        <v>98</v>
      </c>
      <c r="D1679" s="438" t="s">
        <v>99</v>
      </c>
      <c r="E1679" s="442" t="s">
        <v>100</v>
      </c>
      <c r="F1679" s="443" t="s">
        <v>83</v>
      </c>
      <c r="G1679" s="444" t="s">
        <v>84</v>
      </c>
      <c r="H1679" s="477"/>
    </row>
    <row r="1680" spans="1:8">
      <c r="A1680" s="478" t="s">
        <v>1109</v>
      </c>
      <c r="B1680" s="467"/>
      <c r="C1680" s="479">
        <f>+PERSONAL!$E$34</f>
        <v>100000</v>
      </c>
      <c r="D1680" s="480">
        <f>PERSONAL!$F$31</f>
        <v>1.7431000000000001</v>
      </c>
      <c r="E1680" s="440">
        <f>+D1680*C1680</f>
        <v>174310</v>
      </c>
      <c r="F1680" s="440">
        <v>2</v>
      </c>
      <c r="G1680" s="445">
        <f>ROUND(E1680/F1680,0)</f>
        <v>87155</v>
      </c>
      <c r="H1680" s="451"/>
    </row>
    <row r="1681" spans="1:8">
      <c r="A1681" s="478"/>
      <c r="B1681" s="467"/>
      <c r="C1681" s="479"/>
      <c r="D1681" s="480"/>
      <c r="E1681" s="440"/>
      <c r="F1681" s="440"/>
      <c r="G1681" s="445"/>
      <c r="H1681" s="451"/>
    </row>
    <row r="1682" spans="1:8">
      <c r="A1682" s="478"/>
      <c r="B1682" s="468"/>
      <c r="C1682" s="430"/>
      <c r="D1682" s="459"/>
      <c r="E1682" s="430"/>
      <c r="F1682" s="440"/>
      <c r="G1682" s="445"/>
      <c r="H1682" s="451"/>
    </row>
    <row r="1683" spans="1:8">
      <c r="A1683" s="478"/>
      <c r="B1683" s="468"/>
      <c r="C1683" s="430"/>
      <c r="D1683" s="459"/>
      <c r="E1683" s="430"/>
      <c r="F1683" s="440"/>
      <c r="G1683" s="445"/>
      <c r="H1683" s="451"/>
    </row>
    <row r="1684" spans="1:8" ht="15.75" thickBot="1">
      <c r="A1684" s="481"/>
      <c r="B1684" s="474"/>
      <c r="C1684" s="474"/>
      <c r="D1684" s="474"/>
      <c r="E1684" s="474"/>
      <c r="F1684" s="474"/>
      <c r="G1684" s="482"/>
      <c r="H1684" s="482"/>
    </row>
    <row r="1685" spans="1:8" ht="15.75" thickBot="1">
      <c r="A1685" s="436"/>
      <c r="B1685" s="436"/>
      <c r="C1685" s="436"/>
      <c r="D1685" s="436"/>
      <c r="E1685" s="436"/>
      <c r="F1685" s="436"/>
      <c r="G1685" s="437" t="s">
        <v>86</v>
      </c>
      <c r="H1685" s="466">
        <f>SUM(G1680:G1684)</f>
        <v>87155</v>
      </c>
    </row>
    <row r="1686" spans="1:8" ht="15.75" thickBot="1">
      <c r="A1686" s="436"/>
      <c r="B1686" s="436"/>
      <c r="C1686" s="436"/>
      <c r="D1686" s="436"/>
      <c r="E1686" s="436"/>
      <c r="F1686" s="436"/>
      <c r="G1686" s="483"/>
      <c r="H1686" s="436"/>
    </row>
    <row r="1687" spans="1:8" ht="15.75" thickBot="1">
      <c r="A1687" s="436"/>
      <c r="B1687" s="436"/>
      <c r="C1687" s="436"/>
      <c r="D1687" s="436"/>
      <c r="E1687" s="484" t="s">
        <v>102</v>
      </c>
      <c r="F1687" s="485"/>
      <c r="G1687" s="485"/>
      <c r="H1687" s="466">
        <f>H1657+H1672+H1677+H1685</f>
        <v>272944.24650000001</v>
      </c>
    </row>
    <row r="1688" spans="1:8" ht="15.75" thickBot="1">
      <c r="A1688" s="450" t="s">
        <v>103</v>
      </c>
      <c r="B1688" s="450"/>
      <c r="C1688" s="436"/>
      <c r="D1688" s="436"/>
      <c r="E1688" s="436"/>
      <c r="F1688" s="436"/>
      <c r="G1688" s="436"/>
      <c r="H1688" s="436"/>
    </row>
    <row r="1689" spans="1:8">
      <c r="A1689" s="487" t="s">
        <v>80</v>
      </c>
      <c r="B1689" s="488"/>
      <c r="C1689" s="488"/>
      <c r="D1689" s="488"/>
      <c r="E1689" s="489"/>
      <c r="F1689" s="490" t="s">
        <v>104</v>
      </c>
      <c r="G1689" s="491" t="s">
        <v>105</v>
      </c>
      <c r="H1689" s="457"/>
    </row>
    <row r="1690" spans="1:8">
      <c r="A1690" s="469" t="s">
        <v>106</v>
      </c>
      <c r="B1690" s="467"/>
      <c r="C1690" s="467"/>
      <c r="D1690" s="467"/>
      <c r="E1690" s="468"/>
      <c r="F1690" s="492">
        <f>PRESUPUESTO!$E$222</f>
        <v>0.109</v>
      </c>
      <c r="G1690" s="493">
        <f>+F1690*H1687</f>
        <v>29750.922868500002</v>
      </c>
      <c r="H1690" s="460"/>
    </row>
    <row r="1691" spans="1:8">
      <c r="A1691" s="469" t="s">
        <v>107</v>
      </c>
      <c r="B1691" s="467"/>
      <c r="C1691" s="467"/>
      <c r="D1691" s="467"/>
      <c r="E1691" s="468"/>
      <c r="F1691" s="492">
        <v>0</v>
      </c>
      <c r="G1691" s="493">
        <f>+F1691*H1687</f>
        <v>0</v>
      </c>
      <c r="H1691" s="460"/>
    </row>
    <row r="1692" spans="1:8" ht="15.75" thickBot="1">
      <c r="A1692" s="472" t="s">
        <v>108</v>
      </c>
      <c r="B1692" s="473"/>
      <c r="C1692" s="473"/>
      <c r="D1692" s="473"/>
      <c r="E1692" s="474"/>
      <c r="F1692" s="494">
        <v>0.05</v>
      </c>
      <c r="G1692" s="495">
        <f>+F1692*H1687</f>
        <v>13647.212325</v>
      </c>
      <c r="H1692" s="465"/>
    </row>
    <row r="1693" spans="1:8" ht="15.75" thickBot="1">
      <c r="A1693" s="436"/>
      <c r="B1693" s="436"/>
      <c r="C1693" s="436"/>
      <c r="D1693" s="436"/>
      <c r="E1693" s="436"/>
      <c r="F1693" s="436"/>
      <c r="G1693" s="437" t="s">
        <v>86</v>
      </c>
      <c r="H1693" s="496">
        <f>SUM(G1690:G1692)</f>
        <v>43398.135193499998</v>
      </c>
    </row>
    <row r="1694" spans="1:8" ht="15.75" thickBot="1">
      <c r="A1694" s="436"/>
      <c r="B1694" s="436"/>
      <c r="C1694" s="436"/>
      <c r="D1694" s="436"/>
      <c r="E1694" s="436"/>
      <c r="F1694" s="436"/>
      <c r="G1694" s="436"/>
      <c r="H1694" s="436"/>
    </row>
    <row r="1695" spans="1:8" ht="15.75" thickBot="1">
      <c r="A1695" s="446"/>
      <c r="B1695" s="446"/>
      <c r="C1695" s="436"/>
      <c r="D1695" s="484" t="s">
        <v>109</v>
      </c>
      <c r="E1695" s="485"/>
      <c r="F1695" s="485"/>
      <c r="G1695" s="485"/>
      <c r="H1695" s="466">
        <f>ROUND((H1687+H1693),0)</f>
        <v>316342</v>
      </c>
    </row>
    <row r="1696" spans="1:8">
      <c r="A1696" s="446"/>
      <c r="B1696" s="446"/>
      <c r="C1696" s="446"/>
      <c r="D1696" s="446"/>
      <c r="E1696" s="446"/>
      <c r="F1696" s="446"/>
      <c r="G1696" s="446"/>
      <c r="H1696" s="446"/>
    </row>
    <row r="1697" spans="1:10">
      <c r="A1697" s="186" t="s">
        <v>77</v>
      </c>
      <c r="B1697" s="446"/>
      <c r="C1697" s="446"/>
      <c r="D1697" s="446"/>
      <c r="E1697" s="446"/>
      <c r="F1697" s="446"/>
      <c r="G1697" s="446"/>
      <c r="H1697" s="446"/>
    </row>
    <row r="1698" spans="1:10" ht="15.75" thickBot="1">
      <c r="A1698" s="446"/>
      <c r="B1698" s="446"/>
      <c r="C1698" s="446"/>
      <c r="D1698" s="446"/>
      <c r="E1698" s="446"/>
      <c r="F1698" s="446"/>
      <c r="G1698" s="446"/>
      <c r="H1698" s="446"/>
    </row>
    <row r="1699" spans="1:10">
      <c r="A1699" s="1348" t="s">
        <v>213</v>
      </c>
      <c r="B1699" s="1349"/>
      <c r="C1699" s="1350"/>
      <c r="D1699" s="448"/>
      <c r="E1699" s="448"/>
      <c r="F1699" s="448"/>
      <c r="G1699" s="448"/>
      <c r="H1699" s="449"/>
    </row>
    <row r="1700" spans="1:10">
      <c r="A1700" s="1351"/>
      <c r="B1700" s="1352"/>
      <c r="C1700" s="1353"/>
      <c r="D1700" s="436"/>
      <c r="E1700" s="450" t="s">
        <v>78</v>
      </c>
      <c r="F1700" s="436"/>
      <c r="G1700" s="436"/>
      <c r="H1700" s="451"/>
    </row>
    <row r="1701" spans="1:10" ht="15.75" thickBot="1">
      <c r="A1701" s="1354"/>
      <c r="B1701" s="1355"/>
      <c r="C1701" s="1356"/>
      <c r="D1701" s="1360"/>
      <c r="E1701" s="1361"/>
      <c r="F1701" s="1361"/>
      <c r="G1701" s="1361"/>
      <c r="H1701" s="1362"/>
    </row>
    <row r="1702" spans="1:10">
      <c r="A1702" s="455"/>
      <c r="B1702" s="436"/>
      <c r="C1702" s="436"/>
      <c r="D1702" s="436"/>
      <c r="E1702" s="436"/>
      <c r="F1702" s="436"/>
      <c r="G1702" s="436"/>
      <c r="H1702" s="436"/>
    </row>
    <row r="1703" spans="1:10" s="446" customFormat="1" ht="12.75">
      <c r="A1703" s="455" t="s">
        <v>1146</v>
      </c>
      <c r="B1703" s="456" t="str">
        <f>+PRESUPUESTO!$B$70</f>
        <v>INSTALACIONES ELÉCTRICAS</v>
      </c>
      <c r="C1703" s="436"/>
      <c r="E1703" s="456"/>
      <c r="G1703" s="456" t="s">
        <v>1123</v>
      </c>
      <c r="H1703" s="483" t="s">
        <v>1199</v>
      </c>
      <c r="I1703" s="436"/>
      <c r="J1703" s="436"/>
    </row>
    <row r="1704" spans="1:10" s="931" customFormat="1" ht="52.15" customHeight="1">
      <c r="A1704" s="928" t="s">
        <v>1122</v>
      </c>
      <c r="B1704" s="1375" t="str">
        <f>VLOOKUP(H1703,PRESUPUESTO!$A$18:$F$251,2,FALSE)</f>
        <v>Suministro, Transporte e Instalacion Salida eléctrica para interruptor sencillo 15A, 125V. Incluye interruptor marca Leviton o similar color blanco con  placa de nylon, encintada, tuberia EMT 3/4" ,caja metalica 12x12x5cm, conductores cobre #12 AWG-THWN-THHN y demás accesorios necesarios para su correcta instalación.(salida de 3m)</v>
      </c>
      <c r="C1704" s="1375"/>
      <c r="D1704" s="1375"/>
      <c r="E1704" s="1375"/>
      <c r="F1704" s="1375"/>
      <c r="G1704" s="929" t="s">
        <v>9</v>
      </c>
      <c r="H1704" s="1024" t="str">
        <f>VLOOKUP(H1703,PRESUPUESTO!$A$18:$F$251,3,FALSE)</f>
        <v>un</v>
      </c>
    </row>
    <row r="1705" spans="1:10">
      <c r="A1705" s="456"/>
      <c r="B1705" s="456"/>
      <c r="C1705" s="436"/>
      <c r="D1705" s="456"/>
      <c r="E1705" s="456"/>
      <c r="F1705" s="456"/>
      <c r="G1705" s="456"/>
      <c r="H1705" s="436"/>
    </row>
    <row r="1706" spans="1:10" ht="15.75" thickBot="1">
      <c r="A1706" s="450" t="s">
        <v>79</v>
      </c>
      <c r="B1706" s="450"/>
      <c r="C1706" s="436"/>
      <c r="D1706" s="436"/>
      <c r="E1706" s="436"/>
      <c r="F1706" s="436"/>
      <c r="G1706" s="436"/>
      <c r="H1706" s="436"/>
    </row>
    <row r="1707" spans="1:10">
      <c r="A1707" s="1345" t="s">
        <v>80</v>
      </c>
      <c r="B1707" s="1346"/>
      <c r="C1707" s="1347"/>
      <c r="D1707" s="438" t="s">
        <v>81</v>
      </c>
      <c r="E1707" s="438" t="s">
        <v>82</v>
      </c>
      <c r="F1707" s="438" t="s">
        <v>83</v>
      </c>
      <c r="G1707" s="439" t="s">
        <v>84</v>
      </c>
      <c r="H1707" s="457"/>
    </row>
    <row r="1708" spans="1:10">
      <c r="A1708" s="1357" t="s">
        <v>471</v>
      </c>
      <c r="B1708" s="1358"/>
      <c r="C1708" s="1359"/>
      <c r="D1708" s="459" t="s">
        <v>268</v>
      </c>
      <c r="E1708" s="440">
        <f>+H1739</f>
        <v>69724</v>
      </c>
      <c r="F1708" s="440">
        <v>0.05</v>
      </c>
      <c r="G1708" s="432">
        <f>E1708*F1708</f>
        <v>3486.2000000000003</v>
      </c>
      <c r="H1708" s="460"/>
    </row>
    <row r="1709" spans="1:10">
      <c r="A1709" s="1357"/>
      <c r="B1709" s="1358"/>
      <c r="C1709" s="1359"/>
      <c r="D1709" s="461"/>
      <c r="E1709" s="462"/>
      <c r="F1709" s="497"/>
      <c r="G1709" s="432">
        <f>E1709*F1709</f>
        <v>0</v>
      </c>
      <c r="H1709" s="460"/>
    </row>
    <row r="1710" spans="1:10" ht="15.75" thickBot="1">
      <c r="A1710" s="1342"/>
      <c r="B1710" s="1343"/>
      <c r="C1710" s="1344"/>
      <c r="D1710" s="464"/>
      <c r="E1710" s="433"/>
      <c r="F1710" s="434"/>
      <c r="G1710" s="441">
        <f>E1710*F1710</f>
        <v>0</v>
      </c>
      <c r="H1710" s="465"/>
    </row>
    <row r="1711" spans="1:10" ht="15.75" thickBot="1">
      <c r="A1711" s="436"/>
      <c r="B1711" s="436"/>
      <c r="C1711" s="436"/>
      <c r="D1711" s="436"/>
      <c r="E1711" s="436"/>
      <c r="F1711" s="436"/>
      <c r="G1711" s="437" t="s">
        <v>86</v>
      </c>
      <c r="H1711" s="466">
        <f>SUM(G1708:G1710)</f>
        <v>3486.2000000000003</v>
      </c>
    </row>
    <row r="1712" spans="1:10" ht="15.75" thickBot="1">
      <c r="A1712" s="450" t="s">
        <v>87</v>
      </c>
      <c r="B1712" s="450"/>
      <c r="C1712" s="436"/>
      <c r="D1712" s="436"/>
      <c r="E1712" s="436"/>
      <c r="F1712" s="436"/>
      <c r="G1712" s="436"/>
      <c r="H1712" s="436"/>
    </row>
    <row r="1713" spans="1:8">
      <c r="A1713" s="1345" t="s">
        <v>80</v>
      </c>
      <c r="B1713" s="1346"/>
      <c r="C1713" s="1347"/>
      <c r="D1713" s="438" t="s">
        <v>88</v>
      </c>
      <c r="E1713" s="438" t="s">
        <v>89</v>
      </c>
      <c r="F1713" s="438" t="s">
        <v>90</v>
      </c>
      <c r="G1713" s="439" t="s">
        <v>84</v>
      </c>
      <c r="H1713" s="457"/>
    </row>
    <row r="1714" spans="1:8">
      <c r="A1714" s="458" t="s">
        <v>443</v>
      </c>
      <c r="B1714" s="467"/>
      <c r="C1714" s="468"/>
      <c r="D1714" s="459" t="s">
        <v>268</v>
      </c>
      <c r="E1714" s="430">
        <v>246</v>
      </c>
      <c r="F1714" s="440">
        <v>8.01</v>
      </c>
      <c r="G1714" s="445">
        <f>E1714*F1714</f>
        <v>1970.46</v>
      </c>
      <c r="H1714" s="460"/>
    </row>
    <row r="1715" spans="1:8">
      <c r="A1715" s="458" t="s">
        <v>454</v>
      </c>
      <c r="B1715" s="467"/>
      <c r="C1715" s="468"/>
      <c r="D1715" s="459" t="s">
        <v>271</v>
      </c>
      <c r="E1715" s="430">
        <v>14000</v>
      </c>
      <c r="F1715" s="440">
        <f>3*1.05</f>
        <v>3.1500000000000004</v>
      </c>
      <c r="G1715" s="445">
        <f t="shared" ref="G1715:G1723" si="10">E1715*F1715</f>
        <v>44100.000000000007</v>
      </c>
      <c r="H1715" s="460"/>
    </row>
    <row r="1716" spans="1:8">
      <c r="A1716" s="458" t="s">
        <v>452</v>
      </c>
      <c r="B1716" s="467"/>
      <c r="C1716" s="468"/>
      <c r="D1716" s="459" t="s">
        <v>268</v>
      </c>
      <c r="E1716" s="430">
        <v>190</v>
      </c>
      <c r="F1716" s="440">
        <v>3</v>
      </c>
      <c r="G1716" s="445">
        <f t="shared" si="10"/>
        <v>570</v>
      </c>
      <c r="H1716" s="460"/>
    </row>
    <row r="1717" spans="1:8">
      <c r="A1717" s="458" t="s">
        <v>455</v>
      </c>
      <c r="B1717" s="467"/>
      <c r="C1717" s="468"/>
      <c r="D1717" s="459" t="s">
        <v>268</v>
      </c>
      <c r="E1717" s="430">
        <v>900</v>
      </c>
      <c r="F1717" s="440">
        <v>1</v>
      </c>
      <c r="G1717" s="445">
        <f t="shared" si="10"/>
        <v>900</v>
      </c>
      <c r="H1717" s="460"/>
    </row>
    <row r="1718" spans="1:8">
      <c r="A1718" s="458" t="s">
        <v>456</v>
      </c>
      <c r="B1718" s="467"/>
      <c r="C1718" s="468"/>
      <c r="D1718" s="459" t="s">
        <v>268</v>
      </c>
      <c r="E1718" s="430">
        <v>900</v>
      </c>
      <c r="F1718" s="440">
        <v>2</v>
      </c>
      <c r="G1718" s="445">
        <f t="shared" si="10"/>
        <v>1800</v>
      </c>
      <c r="H1718" s="460"/>
    </row>
    <row r="1719" spans="1:8">
      <c r="A1719" s="458" t="s">
        <v>453</v>
      </c>
      <c r="B1719" s="467"/>
      <c r="C1719" s="468"/>
      <c r="D1719" s="459" t="s">
        <v>268</v>
      </c>
      <c r="E1719" s="430">
        <v>1200</v>
      </c>
      <c r="F1719" s="440">
        <v>0.2</v>
      </c>
      <c r="G1719" s="445">
        <f t="shared" si="10"/>
        <v>240</v>
      </c>
      <c r="H1719" s="460"/>
    </row>
    <row r="1720" spans="1:8">
      <c r="A1720" s="458" t="s">
        <v>459</v>
      </c>
      <c r="B1720" s="467"/>
      <c r="C1720" s="468"/>
      <c r="D1720" s="504" t="s">
        <v>271</v>
      </c>
      <c r="E1720" s="1009">
        <f>2723*1.19</f>
        <v>3240.37</v>
      </c>
      <c r="F1720" s="440">
        <f>9*1.05</f>
        <v>9.4500000000000011</v>
      </c>
      <c r="G1720" s="445">
        <f t="shared" si="10"/>
        <v>30621.496500000001</v>
      </c>
      <c r="H1720" s="460"/>
    </row>
    <row r="1721" spans="1:8">
      <c r="A1721" s="458" t="s">
        <v>446</v>
      </c>
      <c r="B1721" s="467"/>
      <c r="C1721" s="468"/>
      <c r="D1721" s="459" t="s">
        <v>268</v>
      </c>
      <c r="E1721" s="430">
        <v>220</v>
      </c>
      <c r="F1721" s="440">
        <v>4</v>
      </c>
      <c r="G1721" s="445">
        <f t="shared" si="10"/>
        <v>880</v>
      </c>
      <c r="H1721" s="460"/>
    </row>
    <row r="1722" spans="1:8">
      <c r="A1722" s="458" t="s">
        <v>447</v>
      </c>
      <c r="B1722" s="467"/>
      <c r="C1722" s="468"/>
      <c r="D1722" s="459" t="s">
        <v>268</v>
      </c>
      <c r="E1722" s="430">
        <v>4200</v>
      </c>
      <c r="F1722" s="440">
        <v>0.02</v>
      </c>
      <c r="G1722" s="445">
        <f t="shared" si="10"/>
        <v>84</v>
      </c>
      <c r="H1722" s="460"/>
    </row>
    <row r="1723" spans="1:8">
      <c r="A1723" s="469" t="s">
        <v>448</v>
      </c>
      <c r="B1723" s="467"/>
      <c r="C1723" s="468"/>
      <c r="D1723" s="459" t="s">
        <v>268</v>
      </c>
      <c r="E1723" s="1014">
        <v>39900</v>
      </c>
      <c r="F1723" s="440">
        <v>0.02</v>
      </c>
      <c r="G1723" s="445">
        <f t="shared" si="10"/>
        <v>798</v>
      </c>
      <c r="H1723" s="460"/>
    </row>
    <row r="1724" spans="1:8">
      <c r="A1724" s="469" t="s">
        <v>462</v>
      </c>
      <c r="B1724" s="467"/>
      <c r="C1724" s="471"/>
      <c r="D1724" s="459" t="s">
        <v>268</v>
      </c>
      <c r="E1724" s="430">
        <v>9900</v>
      </c>
      <c r="F1724" s="440">
        <v>1</v>
      </c>
      <c r="G1724" s="445">
        <f>(F1724)*E1724</f>
        <v>9900</v>
      </c>
      <c r="H1724" s="460"/>
    </row>
    <row r="1725" spans="1:8" ht="15.75" thickBot="1">
      <c r="A1725" s="499" t="s">
        <v>463</v>
      </c>
      <c r="B1725" s="500"/>
      <c r="C1725" s="501"/>
      <c r="D1725" s="464" t="s">
        <v>268</v>
      </c>
      <c r="E1725" s="433">
        <v>7000</v>
      </c>
      <c r="F1725" s="502">
        <v>1</v>
      </c>
      <c r="G1725" s="441">
        <f>E1725*F1725</f>
        <v>7000</v>
      </c>
      <c r="H1725" s="465"/>
    </row>
    <row r="1726" spans="1:8" ht="15.75" thickBot="1">
      <c r="A1726" s="436"/>
      <c r="B1726" s="436"/>
      <c r="C1726" s="436"/>
      <c r="D1726" s="436"/>
      <c r="E1726" s="436"/>
      <c r="F1726" s="436"/>
      <c r="G1726" s="437" t="s">
        <v>86</v>
      </c>
      <c r="H1726" s="466">
        <f>SUM(G1714:G1725)</f>
        <v>98863.9565</v>
      </c>
    </row>
    <row r="1727" spans="1:8" ht="15.75" thickBot="1">
      <c r="A1727" s="450" t="s">
        <v>94</v>
      </c>
      <c r="B1727" s="450"/>
      <c r="C1727" s="436"/>
      <c r="D1727" s="436"/>
      <c r="E1727" s="436"/>
      <c r="F1727" s="436"/>
      <c r="G1727" s="436"/>
      <c r="H1727" s="436"/>
    </row>
    <row r="1728" spans="1:8">
      <c r="A1728" s="1345" t="s">
        <v>95</v>
      </c>
      <c r="B1728" s="1346"/>
      <c r="C1728" s="1347"/>
      <c r="D1728" s="438" t="s">
        <v>88</v>
      </c>
      <c r="E1728" s="438" t="s">
        <v>89</v>
      </c>
      <c r="F1728" s="438" t="s">
        <v>90</v>
      </c>
      <c r="G1728" s="439" t="s">
        <v>84</v>
      </c>
      <c r="H1728" s="457"/>
    </row>
    <row r="1729" spans="1:8">
      <c r="A1729" s="458" t="s">
        <v>235</v>
      </c>
      <c r="B1729" s="467"/>
      <c r="C1729" s="468"/>
      <c r="D1729" s="459" t="s">
        <v>271</v>
      </c>
      <c r="E1729" s="430">
        <v>6800</v>
      </c>
      <c r="F1729" s="440">
        <v>1</v>
      </c>
      <c r="G1729" s="432">
        <f>E1729*F1729</f>
        <v>6800</v>
      </c>
      <c r="H1729" s="460"/>
    </row>
    <row r="1730" spans="1:8" ht="15.75" thickBot="1">
      <c r="A1730" s="1342"/>
      <c r="B1730" s="1343"/>
      <c r="C1730" s="1344"/>
      <c r="D1730" s="475"/>
      <c r="E1730" s="433"/>
      <c r="F1730" s="434"/>
      <c r="G1730" s="441"/>
      <c r="H1730" s="460"/>
    </row>
    <row r="1731" spans="1:8" ht="15.75" thickBot="1">
      <c r="A1731" s="436"/>
      <c r="B1731" s="436"/>
      <c r="C1731" s="436"/>
      <c r="D1731" s="436"/>
      <c r="E1731" s="436"/>
      <c r="F1731" s="436"/>
      <c r="G1731" s="437" t="s">
        <v>86</v>
      </c>
      <c r="H1731" s="466">
        <f>SUM(G1729:G1730)</f>
        <v>6800</v>
      </c>
    </row>
    <row r="1732" spans="1:8" ht="15.75" thickBot="1">
      <c r="A1732" s="450" t="s">
        <v>96</v>
      </c>
      <c r="B1732" s="450"/>
      <c r="C1732" s="436"/>
      <c r="D1732" s="436"/>
      <c r="E1732" s="436"/>
      <c r="F1732" s="436"/>
      <c r="G1732" s="436"/>
      <c r="H1732" s="436"/>
    </row>
    <row r="1733" spans="1:8">
      <c r="A1733" s="476" t="s">
        <v>97</v>
      </c>
      <c r="B1733" s="438"/>
      <c r="C1733" s="438" t="s">
        <v>98</v>
      </c>
      <c r="D1733" s="438" t="s">
        <v>99</v>
      </c>
      <c r="E1733" s="442" t="s">
        <v>100</v>
      </c>
      <c r="F1733" s="443" t="s">
        <v>83</v>
      </c>
      <c r="G1733" s="444" t="s">
        <v>84</v>
      </c>
      <c r="H1733" s="477"/>
    </row>
    <row r="1734" spans="1:8">
      <c r="A1734" s="478" t="s">
        <v>1109</v>
      </c>
      <c r="B1734" s="467"/>
      <c r="C1734" s="479">
        <f>+PERSONAL!$E$34</f>
        <v>100000</v>
      </c>
      <c r="D1734" s="480">
        <f>PERSONAL!$F$31</f>
        <v>1.7431000000000001</v>
      </c>
      <c r="E1734" s="440">
        <f>+D1734*C1734</f>
        <v>174310</v>
      </c>
      <c r="F1734" s="440">
        <v>2.5</v>
      </c>
      <c r="G1734" s="445">
        <f>ROUND(E1734/F1734,0)</f>
        <v>69724</v>
      </c>
      <c r="H1734" s="451"/>
    </row>
    <row r="1735" spans="1:8">
      <c r="A1735" s="478"/>
      <c r="B1735" s="467"/>
      <c r="C1735" s="479"/>
      <c r="D1735" s="480"/>
      <c r="E1735" s="440"/>
      <c r="F1735" s="440"/>
      <c r="G1735" s="445"/>
      <c r="H1735" s="451"/>
    </row>
    <row r="1736" spans="1:8">
      <c r="A1736" s="478"/>
      <c r="B1736" s="468"/>
      <c r="C1736" s="430"/>
      <c r="D1736" s="459"/>
      <c r="E1736" s="430"/>
      <c r="F1736" s="440"/>
      <c r="G1736" s="445"/>
      <c r="H1736" s="451"/>
    </row>
    <row r="1737" spans="1:8">
      <c r="A1737" s="478"/>
      <c r="B1737" s="468"/>
      <c r="C1737" s="430"/>
      <c r="D1737" s="459"/>
      <c r="E1737" s="430"/>
      <c r="F1737" s="440"/>
      <c r="G1737" s="445"/>
      <c r="H1737" s="451"/>
    </row>
    <row r="1738" spans="1:8" ht="15.75" thickBot="1">
      <c r="A1738" s="481"/>
      <c r="B1738" s="474"/>
      <c r="C1738" s="474"/>
      <c r="D1738" s="474"/>
      <c r="E1738" s="474"/>
      <c r="F1738" s="474"/>
      <c r="G1738" s="482"/>
      <c r="H1738" s="482"/>
    </row>
    <row r="1739" spans="1:8" ht="15.75" thickBot="1">
      <c r="A1739" s="436"/>
      <c r="B1739" s="436"/>
      <c r="C1739" s="436"/>
      <c r="D1739" s="436"/>
      <c r="E1739" s="436"/>
      <c r="F1739" s="436"/>
      <c r="G1739" s="437" t="s">
        <v>86</v>
      </c>
      <c r="H1739" s="466">
        <f>SUM(G1734:G1738)</f>
        <v>69724</v>
      </c>
    </row>
    <row r="1740" spans="1:8" ht="15.75" thickBot="1">
      <c r="A1740" s="436"/>
      <c r="B1740" s="436"/>
      <c r="C1740" s="436"/>
      <c r="D1740" s="436"/>
      <c r="E1740" s="436"/>
      <c r="F1740" s="436"/>
      <c r="G1740" s="483"/>
      <c r="H1740" s="436"/>
    </row>
    <row r="1741" spans="1:8" ht="15.75" thickBot="1">
      <c r="A1741" s="436"/>
      <c r="B1741" s="436"/>
      <c r="C1741" s="436"/>
      <c r="D1741" s="436"/>
      <c r="E1741" s="484" t="s">
        <v>102</v>
      </c>
      <c r="F1741" s="485"/>
      <c r="G1741" s="485"/>
      <c r="H1741" s="466">
        <f>H1711+H1726+H1731+H1739</f>
        <v>178874.15649999998</v>
      </c>
    </row>
    <row r="1742" spans="1:8" ht="15.75" thickBot="1">
      <c r="A1742" s="450" t="s">
        <v>103</v>
      </c>
      <c r="B1742" s="450"/>
      <c r="C1742" s="436"/>
      <c r="D1742" s="436"/>
      <c r="E1742" s="436"/>
      <c r="F1742" s="436"/>
      <c r="G1742" s="436"/>
      <c r="H1742" s="436"/>
    </row>
    <row r="1743" spans="1:8">
      <c r="A1743" s="487" t="s">
        <v>80</v>
      </c>
      <c r="B1743" s="488"/>
      <c r="C1743" s="488"/>
      <c r="D1743" s="488"/>
      <c r="E1743" s="489"/>
      <c r="F1743" s="490" t="s">
        <v>104</v>
      </c>
      <c r="G1743" s="491" t="s">
        <v>105</v>
      </c>
      <c r="H1743" s="457"/>
    </row>
    <row r="1744" spans="1:8">
      <c r="A1744" s="469" t="s">
        <v>106</v>
      </c>
      <c r="B1744" s="467"/>
      <c r="C1744" s="467"/>
      <c r="D1744" s="467"/>
      <c r="E1744" s="468"/>
      <c r="F1744" s="492">
        <f>PRESUPUESTO!$E$222</f>
        <v>0.109</v>
      </c>
      <c r="G1744" s="493">
        <f>+F1744*H1741</f>
        <v>19497.283058499997</v>
      </c>
      <c r="H1744" s="460"/>
    </row>
    <row r="1745" spans="1:10">
      <c r="A1745" s="469" t="s">
        <v>107</v>
      </c>
      <c r="B1745" s="467"/>
      <c r="C1745" s="467"/>
      <c r="D1745" s="467"/>
      <c r="E1745" s="468"/>
      <c r="F1745" s="492">
        <f>PRESUPUESTO!$E$223</f>
        <v>0.05</v>
      </c>
      <c r="G1745" s="493">
        <f>+F1745*H1741</f>
        <v>8943.7078249999995</v>
      </c>
      <c r="H1745" s="460"/>
    </row>
    <row r="1746" spans="1:10" ht="15.75" thickBot="1">
      <c r="A1746" s="472" t="s">
        <v>108</v>
      </c>
      <c r="B1746" s="473"/>
      <c r="C1746" s="473"/>
      <c r="D1746" s="473"/>
      <c r="E1746" s="474"/>
      <c r="F1746" s="494">
        <v>0</v>
      </c>
      <c r="G1746" s="495">
        <f>+F1746*H1741</f>
        <v>0</v>
      </c>
      <c r="H1746" s="465"/>
    </row>
    <row r="1747" spans="1:10" ht="15.75" thickBot="1">
      <c r="A1747" s="436"/>
      <c r="B1747" s="436"/>
      <c r="C1747" s="436"/>
      <c r="D1747" s="436"/>
      <c r="E1747" s="436"/>
      <c r="F1747" s="436"/>
      <c r="G1747" s="437" t="s">
        <v>86</v>
      </c>
      <c r="H1747" s="496">
        <f>SUM(G1744:G1746)</f>
        <v>28440.990883499995</v>
      </c>
    </row>
    <row r="1748" spans="1:10" ht="15.75" thickBot="1">
      <c r="A1748" s="436"/>
      <c r="B1748" s="436"/>
      <c r="C1748" s="436"/>
      <c r="D1748" s="436"/>
      <c r="E1748" s="436"/>
      <c r="F1748" s="436"/>
      <c r="G1748" s="436"/>
      <c r="H1748" s="436"/>
    </row>
    <row r="1749" spans="1:10" ht="15.75" thickBot="1">
      <c r="A1749" s="446"/>
      <c r="B1749" s="446"/>
      <c r="C1749" s="436"/>
      <c r="D1749" s="484" t="s">
        <v>109</v>
      </c>
      <c r="E1749" s="485"/>
      <c r="F1749" s="485"/>
      <c r="G1749" s="485"/>
      <c r="H1749" s="466">
        <f>ROUND((H1741+H1747),0)</f>
        <v>207315</v>
      </c>
    </row>
    <row r="1751" spans="1:10">
      <c r="A1751" s="186" t="s">
        <v>77</v>
      </c>
      <c r="B1751" s="446"/>
      <c r="C1751" s="446"/>
      <c r="D1751" s="446"/>
      <c r="E1751" s="446"/>
      <c r="F1751" s="446"/>
      <c r="G1751" s="446"/>
      <c r="H1751" s="446"/>
    </row>
    <row r="1752" spans="1:10" ht="15.75" thickBot="1">
      <c r="A1752" s="446"/>
      <c r="B1752" s="446"/>
      <c r="C1752" s="446"/>
      <c r="D1752" s="446"/>
      <c r="E1752" s="446"/>
      <c r="F1752" s="446"/>
      <c r="G1752" s="446"/>
      <c r="H1752" s="446"/>
    </row>
    <row r="1753" spans="1:10">
      <c r="A1753" s="1348" t="s">
        <v>213</v>
      </c>
      <c r="B1753" s="1349"/>
      <c r="C1753" s="1350"/>
      <c r="D1753" s="448"/>
      <c r="E1753" s="448"/>
      <c r="F1753" s="448"/>
      <c r="G1753" s="448"/>
      <c r="H1753" s="449"/>
    </row>
    <row r="1754" spans="1:10">
      <c r="A1754" s="1351"/>
      <c r="B1754" s="1352"/>
      <c r="C1754" s="1353"/>
      <c r="D1754" s="436"/>
      <c r="E1754" s="450" t="s">
        <v>78</v>
      </c>
      <c r="F1754" s="436"/>
      <c r="G1754" s="436"/>
      <c r="H1754" s="451"/>
    </row>
    <row r="1755" spans="1:10" ht="15.75" thickBot="1">
      <c r="A1755" s="1354"/>
      <c r="B1755" s="1355"/>
      <c r="C1755" s="1356"/>
      <c r="D1755" s="1360"/>
      <c r="E1755" s="1361"/>
      <c r="F1755" s="1361"/>
      <c r="G1755" s="1361"/>
      <c r="H1755" s="1362"/>
    </row>
    <row r="1756" spans="1:10">
      <c r="A1756" s="455"/>
      <c r="B1756" s="436"/>
      <c r="C1756" s="436"/>
      <c r="D1756" s="436"/>
      <c r="E1756" s="436"/>
      <c r="F1756" s="436"/>
      <c r="G1756" s="436"/>
      <c r="H1756" s="436"/>
    </row>
    <row r="1757" spans="1:10" s="446" customFormat="1" ht="12.75">
      <c r="A1757" s="455" t="s">
        <v>1146</v>
      </c>
      <c r="B1757" s="456" t="str">
        <f>+PRESUPUESTO!$B$70</f>
        <v>INSTALACIONES ELÉCTRICAS</v>
      </c>
      <c r="C1757" s="436"/>
      <c r="E1757" s="456"/>
      <c r="G1757" s="456" t="s">
        <v>1123</v>
      </c>
      <c r="H1757" s="483" t="s">
        <v>1200</v>
      </c>
      <c r="I1757" s="436"/>
      <c r="J1757" s="436"/>
    </row>
    <row r="1758" spans="1:10" s="931" customFormat="1" ht="52.15" customHeight="1">
      <c r="A1758" s="928" t="s">
        <v>1122</v>
      </c>
      <c r="B1758" s="1375" t="str">
        <f>VLOOKUP(H1757,PRESUPUESTO!$A$18:$F$251,2,FALSE)</f>
        <v>Suministro, Transporte e Instalacion Salidas eléctricas de iluminación sobrepuestas o suspendidas, 120V. Incluye: conectores, tuberia EMT 3/4", cajas metálicas, conductores 12 AWG-CU-THW, prensa estopa  y demás accesorios necesarios para su correcta instalación.(salida de 3m)</v>
      </c>
      <c r="C1758" s="1375"/>
      <c r="D1758" s="1375"/>
      <c r="E1758" s="1375"/>
      <c r="F1758" s="1375"/>
      <c r="G1758" s="929" t="s">
        <v>9</v>
      </c>
      <c r="H1758" s="1024" t="str">
        <f>VLOOKUP(H1757,PRESUPUESTO!$A$18:$F$251,3,FALSE)</f>
        <v>un</v>
      </c>
    </row>
    <row r="1759" spans="1:10">
      <c r="A1759" s="456"/>
      <c r="B1759" s="456"/>
      <c r="C1759" s="436"/>
      <c r="D1759" s="456"/>
      <c r="E1759" s="456"/>
      <c r="F1759" s="456"/>
      <c r="G1759" s="456"/>
      <c r="H1759" s="436"/>
    </row>
    <row r="1760" spans="1:10" ht="15.75" thickBot="1">
      <c r="A1760" s="450" t="s">
        <v>79</v>
      </c>
      <c r="B1760" s="450"/>
      <c r="C1760" s="436"/>
      <c r="D1760" s="436"/>
      <c r="E1760" s="436"/>
      <c r="F1760" s="436"/>
      <c r="G1760" s="436"/>
      <c r="H1760" s="436"/>
    </row>
    <row r="1761" spans="1:8">
      <c r="A1761" s="1345" t="s">
        <v>80</v>
      </c>
      <c r="B1761" s="1346"/>
      <c r="C1761" s="1347"/>
      <c r="D1761" s="438" t="s">
        <v>81</v>
      </c>
      <c r="E1761" s="438" t="s">
        <v>82</v>
      </c>
      <c r="F1761" s="438" t="s">
        <v>83</v>
      </c>
      <c r="G1761" s="439" t="s">
        <v>84</v>
      </c>
      <c r="H1761" s="457"/>
    </row>
    <row r="1762" spans="1:8">
      <c r="A1762" s="1357" t="s">
        <v>471</v>
      </c>
      <c r="B1762" s="1358"/>
      <c r="C1762" s="1359"/>
      <c r="D1762" s="459" t="s">
        <v>268</v>
      </c>
      <c r="E1762" s="440">
        <f>+H1793</f>
        <v>56229</v>
      </c>
      <c r="F1762" s="440">
        <v>0.05</v>
      </c>
      <c r="G1762" s="432">
        <f>E1762*F1762</f>
        <v>2811.4500000000003</v>
      </c>
      <c r="H1762" s="460"/>
    </row>
    <row r="1763" spans="1:8">
      <c r="A1763" s="1357"/>
      <c r="B1763" s="1358"/>
      <c r="C1763" s="1359"/>
      <c r="D1763" s="461"/>
      <c r="E1763" s="462"/>
      <c r="F1763" s="497"/>
      <c r="G1763" s="432">
        <f>E1763*F1763</f>
        <v>0</v>
      </c>
      <c r="H1763" s="460"/>
    </row>
    <row r="1764" spans="1:8" ht="15.75" thickBot="1">
      <c r="A1764" s="1342"/>
      <c r="B1764" s="1343"/>
      <c r="C1764" s="1344"/>
      <c r="D1764" s="464"/>
      <c r="E1764" s="433"/>
      <c r="F1764" s="434"/>
      <c r="G1764" s="441">
        <f>E1764*F1764</f>
        <v>0</v>
      </c>
      <c r="H1764" s="465"/>
    </row>
    <row r="1765" spans="1:8" ht="15.75" thickBot="1">
      <c r="A1765" s="436"/>
      <c r="B1765" s="436"/>
      <c r="C1765" s="436"/>
      <c r="D1765" s="436"/>
      <c r="E1765" s="436"/>
      <c r="F1765" s="436"/>
      <c r="G1765" s="437" t="s">
        <v>86</v>
      </c>
      <c r="H1765" s="466">
        <f>SUM(G1762:G1764)</f>
        <v>2811.4500000000003</v>
      </c>
    </row>
    <row r="1766" spans="1:8" ht="15.75" thickBot="1">
      <c r="A1766" s="450" t="s">
        <v>87</v>
      </c>
      <c r="B1766" s="450"/>
      <c r="C1766" s="436"/>
      <c r="D1766" s="436"/>
      <c r="E1766" s="436"/>
      <c r="F1766" s="436"/>
      <c r="G1766" s="436"/>
      <c r="H1766" s="436"/>
    </row>
    <row r="1767" spans="1:8">
      <c r="A1767" s="1345" t="s">
        <v>80</v>
      </c>
      <c r="B1767" s="1346"/>
      <c r="C1767" s="1347"/>
      <c r="D1767" s="438" t="s">
        <v>88</v>
      </c>
      <c r="E1767" s="438" t="s">
        <v>89</v>
      </c>
      <c r="F1767" s="438" t="s">
        <v>90</v>
      </c>
      <c r="G1767" s="439" t="s">
        <v>84</v>
      </c>
      <c r="H1767" s="457"/>
    </row>
    <row r="1768" spans="1:8">
      <c r="A1768" s="458" t="s">
        <v>443</v>
      </c>
      <c r="B1768" s="467"/>
      <c r="C1768" s="468"/>
      <c r="D1768" s="459" t="s">
        <v>268</v>
      </c>
      <c r="E1768" s="430">
        <v>246</v>
      </c>
      <c r="F1768" s="440">
        <v>8</v>
      </c>
      <c r="G1768" s="445">
        <f>E1768*F1768</f>
        <v>1968</v>
      </c>
      <c r="H1768" s="460"/>
    </row>
    <row r="1769" spans="1:8">
      <c r="A1769" s="458" t="s">
        <v>458</v>
      </c>
      <c r="B1769" s="467"/>
      <c r="C1769" s="468"/>
      <c r="D1769" s="459" t="s">
        <v>268</v>
      </c>
      <c r="E1769" s="430">
        <v>9100</v>
      </c>
      <c r="F1769" s="440">
        <v>1</v>
      </c>
      <c r="G1769" s="445">
        <f t="shared" ref="G1769:G1777" si="11">E1769*F1769</f>
        <v>9100</v>
      </c>
      <c r="H1769" s="460"/>
    </row>
    <row r="1770" spans="1:8">
      <c r="A1770" s="458" t="s">
        <v>454</v>
      </c>
      <c r="B1770" s="467"/>
      <c r="C1770" s="468"/>
      <c r="D1770" s="459" t="s">
        <v>268</v>
      </c>
      <c r="E1770" s="430">
        <v>14000</v>
      </c>
      <c r="F1770" s="440">
        <f>3*1.05</f>
        <v>3.1500000000000004</v>
      </c>
      <c r="G1770" s="445">
        <f t="shared" si="11"/>
        <v>44100.000000000007</v>
      </c>
      <c r="H1770" s="460"/>
    </row>
    <row r="1771" spans="1:8">
      <c r="A1771" s="458" t="s">
        <v>452</v>
      </c>
      <c r="B1771" s="467"/>
      <c r="C1771" s="468"/>
      <c r="D1771" s="459" t="s">
        <v>268</v>
      </c>
      <c r="E1771" s="430">
        <v>190</v>
      </c>
      <c r="F1771" s="440">
        <v>3</v>
      </c>
      <c r="G1771" s="445">
        <f t="shared" si="11"/>
        <v>570</v>
      </c>
      <c r="H1771" s="460"/>
    </row>
    <row r="1772" spans="1:8">
      <c r="A1772" s="458" t="s">
        <v>455</v>
      </c>
      <c r="B1772" s="467"/>
      <c r="C1772" s="468"/>
      <c r="D1772" s="459" t="s">
        <v>268</v>
      </c>
      <c r="E1772" s="430">
        <v>900</v>
      </c>
      <c r="F1772" s="440">
        <v>1</v>
      </c>
      <c r="G1772" s="445">
        <f t="shared" si="11"/>
        <v>900</v>
      </c>
      <c r="H1772" s="460"/>
    </row>
    <row r="1773" spans="1:8">
      <c r="A1773" s="458" t="s">
        <v>456</v>
      </c>
      <c r="B1773" s="467"/>
      <c r="C1773" s="468"/>
      <c r="D1773" s="459" t="s">
        <v>268</v>
      </c>
      <c r="E1773" s="430">
        <v>900</v>
      </c>
      <c r="F1773" s="440">
        <v>2</v>
      </c>
      <c r="G1773" s="445">
        <f t="shared" si="11"/>
        <v>1800</v>
      </c>
      <c r="H1773" s="460"/>
    </row>
    <row r="1774" spans="1:8">
      <c r="A1774" s="458" t="s">
        <v>453</v>
      </c>
      <c r="B1774" s="467"/>
      <c r="C1774" s="468"/>
      <c r="D1774" s="459" t="s">
        <v>268</v>
      </c>
      <c r="E1774" s="430">
        <v>1200</v>
      </c>
      <c r="F1774" s="440">
        <v>0.2</v>
      </c>
      <c r="G1774" s="445">
        <f t="shared" si="11"/>
        <v>240</v>
      </c>
      <c r="H1774" s="460"/>
    </row>
    <row r="1775" spans="1:8">
      <c r="A1775" s="458" t="s">
        <v>459</v>
      </c>
      <c r="B1775" s="467"/>
      <c r="C1775" s="468"/>
      <c r="D1775" s="459" t="s">
        <v>268</v>
      </c>
      <c r="E1775" s="1009">
        <f>2723*1.19</f>
        <v>3240.37</v>
      </c>
      <c r="F1775" s="440">
        <f>9*1.05</f>
        <v>9.4500000000000011</v>
      </c>
      <c r="G1775" s="445">
        <f t="shared" si="11"/>
        <v>30621.496500000001</v>
      </c>
      <c r="H1775" s="460"/>
    </row>
    <row r="1776" spans="1:8">
      <c r="A1776" s="458" t="s">
        <v>446</v>
      </c>
      <c r="B1776" s="467"/>
      <c r="C1776" s="468"/>
      <c r="D1776" s="459" t="s">
        <v>268</v>
      </c>
      <c r="E1776" s="430">
        <v>220</v>
      </c>
      <c r="F1776" s="440">
        <v>3</v>
      </c>
      <c r="G1776" s="445">
        <f t="shared" si="11"/>
        <v>660</v>
      </c>
      <c r="H1776" s="460"/>
    </row>
    <row r="1777" spans="1:8">
      <c r="A1777" s="469" t="s">
        <v>461</v>
      </c>
      <c r="B1777" s="467"/>
      <c r="C1777" s="468"/>
      <c r="D1777" s="459" t="s">
        <v>268</v>
      </c>
      <c r="E1777" s="430">
        <v>20000</v>
      </c>
      <c r="F1777" s="440">
        <v>1</v>
      </c>
      <c r="G1777" s="445">
        <f t="shared" si="11"/>
        <v>20000</v>
      </c>
      <c r="H1777" s="460"/>
    </row>
    <row r="1778" spans="1:8">
      <c r="A1778" s="469" t="s">
        <v>447</v>
      </c>
      <c r="B1778" s="467"/>
      <c r="C1778" s="471"/>
      <c r="D1778" s="459" t="s">
        <v>268</v>
      </c>
      <c r="E1778" s="430">
        <v>4200</v>
      </c>
      <c r="F1778" s="440">
        <v>0.02</v>
      </c>
      <c r="G1778" s="445">
        <f>(F1778)*E1778</f>
        <v>84</v>
      </c>
      <c r="H1778" s="460"/>
    </row>
    <row r="1779" spans="1:8" ht="15.75" thickBot="1">
      <c r="A1779" s="499" t="s">
        <v>448</v>
      </c>
      <c r="B1779" s="500"/>
      <c r="C1779" s="501"/>
      <c r="D1779" s="464" t="s">
        <v>268</v>
      </c>
      <c r="E1779" s="1014">
        <v>39900</v>
      </c>
      <c r="F1779" s="502">
        <v>0.02</v>
      </c>
      <c r="G1779" s="441">
        <f>E1779*F1779</f>
        <v>798</v>
      </c>
      <c r="H1779" s="465"/>
    </row>
    <row r="1780" spans="1:8" ht="15.75" thickBot="1">
      <c r="A1780" s="436"/>
      <c r="B1780" s="436"/>
      <c r="C1780" s="436"/>
      <c r="D1780" s="436"/>
      <c r="E1780" s="436"/>
      <c r="F1780" s="436"/>
      <c r="G1780" s="437" t="s">
        <v>86</v>
      </c>
      <c r="H1780" s="466">
        <f>SUM(G1768:G1779)</f>
        <v>110841.49650000001</v>
      </c>
    </row>
    <row r="1781" spans="1:8" ht="15.75" thickBot="1">
      <c r="A1781" s="450" t="s">
        <v>94</v>
      </c>
      <c r="B1781" s="450"/>
      <c r="C1781" s="436"/>
      <c r="D1781" s="436"/>
      <c r="E1781" s="436"/>
      <c r="F1781" s="436"/>
      <c r="G1781" s="436"/>
      <c r="H1781" s="436"/>
    </row>
    <row r="1782" spans="1:8">
      <c r="A1782" s="1345" t="s">
        <v>95</v>
      </c>
      <c r="B1782" s="1346"/>
      <c r="C1782" s="1347"/>
      <c r="D1782" s="438" t="s">
        <v>88</v>
      </c>
      <c r="E1782" s="438" t="s">
        <v>89</v>
      </c>
      <c r="F1782" s="438" t="s">
        <v>90</v>
      </c>
      <c r="G1782" s="439" t="s">
        <v>84</v>
      </c>
      <c r="H1782" s="457"/>
    </row>
    <row r="1783" spans="1:8">
      <c r="A1783" s="458" t="s">
        <v>235</v>
      </c>
      <c r="B1783" s="467"/>
      <c r="C1783" s="468"/>
      <c r="D1783" s="459" t="s">
        <v>271</v>
      </c>
      <c r="E1783" s="430">
        <v>6800</v>
      </c>
      <c r="F1783" s="440">
        <v>1</v>
      </c>
      <c r="G1783" s="432">
        <f>E1783*F1783</f>
        <v>6800</v>
      </c>
      <c r="H1783" s="460"/>
    </row>
    <row r="1784" spans="1:8" ht="15.75" thickBot="1">
      <c r="A1784" s="1342"/>
      <c r="B1784" s="1343"/>
      <c r="C1784" s="1344"/>
      <c r="D1784" s="475"/>
      <c r="E1784" s="433"/>
      <c r="F1784" s="434"/>
      <c r="G1784" s="441"/>
      <c r="H1784" s="460"/>
    </row>
    <row r="1785" spans="1:8" ht="15.75" thickBot="1">
      <c r="A1785" s="436"/>
      <c r="B1785" s="436"/>
      <c r="C1785" s="436"/>
      <c r="D1785" s="436"/>
      <c r="E1785" s="436"/>
      <c r="F1785" s="436"/>
      <c r="G1785" s="437" t="s">
        <v>86</v>
      </c>
      <c r="H1785" s="466">
        <f>SUM(G1783:G1784)</f>
        <v>6800</v>
      </c>
    </row>
    <row r="1786" spans="1:8" ht="15.75" thickBot="1">
      <c r="A1786" s="450" t="s">
        <v>96</v>
      </c>
      <c r="B1786" s="450"/>
      <c r="C1786" s="436"/>
      <c r="D1786" s="436"/>
      <c r="E1786" s="436"/>
      <c r="F1786" s="436"/>
      <c r="G1786" s="436"/>
      <c r="H1786" s="436"/>
    </row>
    <row r="1787" spans="1:8">
      <c r="A1787" s="476" t="s">
        <v>97</v>
      </c>
      <c r="B1787" s="438"/>
      <c r="C1787" s="438" t="s">
        <v>98</v>
      </c>
      <c r="D1787" s="438" t="s">
        <v>99</v>
      </c>
      <c r="E1787" s="442" t="s">
        <v>100</v>
      </c>
      <c r="F1787" s="443" t="s">
        <v>83</v>
      </c>
      <c r="G1787" s="444" t="s">
        <v>84</v>
      </c>
      <c r="H1787" s="477"/>
    </row>
    <row r="1788" spans="1:8">
      <c r="A1788" s="478" t="s">
        <v>1109</v>
      </c>
      <c r="B1788" s="467"/>
      <c r="C1788" s="479">
        <f>+PERSONAL!$E$34</f>
        <v>100000</v>
      </c>
      <c r="D1788" s="480">
        <f>PERSONAL!$F$31</f>
        <v>1.7431000000000001</v>
      </c>
      <c r="E1788" s="440">
        <f>+D1788*C1788</f>
        <v>174310</v>
      </c>
      <c r="F1788" s="440">
        <v>3.1</v>
      </c>
      <c r="G1788" s="445">
        <f>ROUND(E1788/F1788,0)</f>
        <v>56229</v>
      </c>
      <c r="H1788" s="451"/>
    </row>
    <row r="1789" spans="1:8">
      <c r="A1789" s="478"/>
      <c r="B1789" s="467"/>
      <c r="C1789" s="479"/>
      <c r="D1789" s="480"/>
      <c r="E1789" s="440"/>
      <c r="F1789" s="440"/>
      <c r="G1789" s="445"/>
      <c r="H1789" s="451"/>
    </row>
    <row r="1790" spans="1:8">
      <c r="A1790" s="478"/>
      <c r="B1790" s="468"/>
      <c r="C1790" s="430"/>
      <c r="D1790" s="459"/>
      <c r="E1790" s="430"/>
      <c r="F1790" s="440"/>
      <c r="G1790" s="445"/>
      <c r="H1790" s="451"/>
    </row>
    <row r="1791" spans="1:8">
      <c r="A1791" s="478"/>
      <c r="B1791" s="468"/>
      <c r="C1791" s="430"/>
      <c r="D1791" s="459"/>
      <c r="E1791" s="430"/>
      <c r="F1791" s="440"/>
      <c r="G1791" s="445"/>
      <c r="H1791" s="451"/>
    </row>
    <row r="1792" spans="1:8" ht="15.75" thickBot="1">
      <c r="A1792" s="481"/>
      <c r="B1792" s="474"/>
      <c r="C1792" s="474"/>
      <c r="D1792" s="474"/>
      <c r="E1792" s="474"/>
      <c r="F1792" s="474"/>
      <c r="G1792" s="482"/>
      <c r="H1792" s="482"/>
    </row>
    <row r="1793" spans="1:10" ht="15.75" thickBot="1">
      <c r="A1793" s="436"/>
      <c r="B1793" s="436"/>
      <c r="C1793" s="436"/>
      <c r="D1793" s="436"/>
      <c r="E1793" s="436"/>
      <c r="F1793" s="436"/>
      <c r="G1793" s="437" t="s">
        <v>86</v>
      </c>
      <c r="H1793" s="466">
        <f>SUM(G1788:G1792)</f>
        <v>56229</v>
      </c>
      <c r="I1793" s="677"/>
    </row>
    <row r="1794" spans="1:10" ht="15.75" thickBot="1">
      <c r="A1794" s="436"/>
      <c r="B1794" s="436"/>
      <c r="C1794" s="436"/>
      <c r="D1794" s="436"/>
      <c r="E1794" s="436"/>
      <c r="F1794" s="436"/>
      <c r="G1794" s="483"/>
      <c r="H1794" s="436"/>
    </row>
    <row r="1795" spans="1:10" ht="15.75" thickBot="1">
      <c r="A1795" s="436"/>
      <c r="B1795" s="436"/>
      <c r="C1795" s="436"/>
      <c r="D1795" s="436"/>
      <c r="E1795" s="484" t="s">
        <v>102</v>
      </c>
      <c r="F1795" s="485"/>
      <c r="G1795" s="485"/>
      <c r="H1795" s="466">
        <f>H1765+H1780+H1785+H1793</f>
        <v>176681.94650000002</v>
      </c>
      <c r="J1795" s="486"/>
    </row>
    <row r="1796" spans="1:10" ht="15.75" thickBot="1">
      <c r="A1796" s="450" t="s">
        <v>103</v>
      </c>
      <c r="B1796" s="450"/>
      <c r="C1796" s="436"/>
      <c r="D1796" s="436"/>
      <c r="E1796" s="436"/>
      <c r="F1796" s="436"/>
      <c r="G1796" s="436"/>
      <c r="H1796" s="436"/>
    </row>
    <row r="1797" spans="1:10">
      <c r="A1797" s="487" t="s">
        <v>80</v>
      </c>
      <c r="B1797" s="488"/>
      <c r="C1797" s="488"/>
      <c r="D1797" s="488"/>
      <c r="E1797" s="489"/>
      <c r="F1797" s="490" t="s">
        <v>104</v>
      </c>
      <c r="G1797" s="491" t="s">
        <v>105</v>
      </c>
      <c r="H1797" s="457"/>
    </row>
    <row r="1798" spans="1:10">
      <c r="A1798" s="469" t="s">
        <v>106</v>
      </c>
      <c r="B1798" s="467"/>
      <c r="C1798" s="467"/>
      <c r="D1798" s="467"/>
      <c r="E1798" s="468"/>
      <c r="F1798" s="492">
        <f>PRESUPUESTO!$E$222</f>
        <v>0.109</v>
      </c>
      <c r="G1798" s="493">
        <f>+F1798*H1795</f>
        <v>19258.332168500001</v>
      </c>
      <c r="H1798" s="460"/>
    </row>
    <row r="1799" spans="1:10">
      <c r="A1799" s="469" t="s">
        <v>107</v>
      </c>
      <c r="B1799" s="467"/>
      <c r="C1799" s="467"/>
      <c r="D1799" s="467"/>
      <c r="E1799" s="468"/>
      <c r="F1799" s="492">
        <f>PRESUPUESTO!$E$223</f>
        <v>0.05</v>
      </c>
      <c r="G1799" s="493">
        <f>+F1799*H1795</f>
        <v>8834.0973250000006</v>
      </c>
      <c r="H1799" s="460"/>
    </row>
    <row r="1800" spans="1:10" ht="15.75" thickBot="1">
      <c r="A1800" s="472" t="s">
        <v>108</v>
      </c>
      <c r="B1800" s="473"/>
      <c r="C1800" s="473"/>
      <c r="D1800" s="473"/>
      <c r="E1800" s="474"/>
      <c r="F1800" s="494">
        <v>0</v>
      </c>
      <c r="G1800" s="495">
        <f>+F1800*H1795</f>
        <v>0</v>
      </c>
      <c r="H1800" s="465"/>
    </row>
    <row r="1801" spans="1:10" ht="15" customHeight="1" thickBot="1">
      <c r="A1801" s="436"/>
      <c r="B1801" s="436"/>
      <c r="C1801" s="436"/>
      <c r="D1801" s="436"/>
      <c r="E1801" s="436"/>
      <c r="F1801" s="436"/>
      <c r="G1801" s="437" t="s">
        <v>86</v>
      </c>
      <c r="H1801" s="496">
        <f>SUM(G1798:G1800)</f>
        <v>28092.4294935</v>
      </c>
    </row>
    <row r="1802" spans="1:10" ht="15.75" thickBot="1">
      <c r="A1802" s="436"/>
      <c r="B1802" s="436"/>
      <c r="C1802" s="436"/>
      <c r="D1802" s="436"/>
      <c r="E1802" s="436"/>
      <c r="F1802" s="436"/>
      <c r="G1802" s="436"/>
      <c r="H1802" s="436"/>
    </row>
    <row r="1803" spans="1:10" ht="15.75" thickBot="1">
      <c r="A1803" s="446"/>
      <c r="B1803" s="446"/>
      <c r="C1803" s="436"/>
      <c r="D1803" s="484" t="s">
        <v>109</v>
      </c>
      <c r="E1803" s="485"/>
      <c r="F1803" s="485"/>
      <c r="G1803" s="485"/>
      <c r="H1803" s="466">
        <f>ROUND((H1795+H1801),0)</f>
        <v>204774</v>
      </c>
    </row>
    <row r="1804" spans="1:10">
      <c r="A1804" s="446"/>
      <c r="B1804" s="446"/>
      <c r="C1804" s="446"/>
      <c r="D1804" s="446"/>
      <c r="E1804" s="446"/>
      <c r="F1804" s="446"/>
      <c r="G1804" s="446"/>
      <c r="H1804" s="446"/>
    </row>
    <row r="1805" spans="1:10">
      <c r="A1805" s="186" t="s">
        <v>77</v>
      </c>
      <c r="B1805" s="446"/>
      <c r="C1805" s="446"/>
      <c r="D1805" s="446"/>
      <c r="E1805" s="446"/>
      <c r="F1805" s="446"/>
      <c r="G1805" s="446"/>
      <c r="H1805" s="446"/>
    </row>
    <row r="1806" spans="1:10" ht="15.75" thickBot="1">
      <c r="A1806" s="446"/>
      <c r="B1806" s="446"/>
      <c r="C1806" s="446"/>
      <c r="D1806" s="446"/>
      <c r="E1806" s="446"/>
      <c r="F1806" s="446"/>
      <c r="G1806" s="446"/>
      <c r="H1806" s="446"/>
    </row>
    <row r="1807" spans="1:10">
      <c r="A1807" s="1348" t="s">
        <v>213</v>
      </c>
      <c r="B1807" s="1349"/>
      <c r="C1807" s="1350"/>
      <c r="D1807" s="448"/>
      <c r="E1807" s="448"/>
      <c r="F1807" s="448"/>
      <c r="G1807" s="448"/>
      <c r="H1807" s="449"/>
    </row>
    <row r="1808" spans="1:10">
      <c r="A1808" s="1351"/>
      <c r="B1808" s="1352"/>
      <c r="C1808" s="1353"/>
      <c r="D1808" s="436"/>
      <c r="E1808" s="450" t="s">
        <v>78</v>
      </c>
      <c r="F1808" s="436"/>
      <c r="G1808" s="436"/>
      <c r="H1808" s="451"/>
    </row>
    <row r="1809" spans="1:10" ht="15.75" thickBot="1">
      <c r="A1809" s="1354"/>
      <c r="B1809" s="1355"/>
      <c r="C1809" s="1356"/>
      <c r="D1809" s="1360"/>
      <c r="E1809" s="1361"/>
      <c r="F1809" s="1361"/>
      <c r="G1809" s="1361"/>
      <c r="H1809" s="1362"/>
    </row>
    <row r="1810" spans="1:10">
      <c r="A1810" s="455"/>
      <c r="B1810" s="436"/>
      <c r="C1810" s="436"/>
      <c r="D1810" s="436"/>
      <c r="E1810" s="436"/>
      <c r="F1810" s="436"/>
      <c r="G1810" s="436"/>
      <c r="H1810" s="436"/>
    </row>
    <row r="1811" spans="1:10" s="446" customFormat="1" ht="12.75">
      <c r="A1811" s="455" t="s">
        <v>1146</v>
      </c>
      <c r="B1811" s="456" t="str">
        <f>+PRESUPUESTO!$B$70</f>
        <v>INSTALACIONES ELÉCTRICAS</v>
      </c>
      <c r="C1811" s="436"/>
      <c r="E1811" s="456"/>
      <c r="G1811" s="456" t="s">
        <v>1123</v>
      </c>
      <c r="H1811" s="483" t="s">
        <v>1201</v>
      </c>
      <c r="I1811" s="436"/>
      <c r="J1811" s="436"/>
    </row>
    <row r="1812" spans="1:10" s="931" customFormat="1" ht="52.15" customHeight="1">
      <c r="A1812" s="928" t="s">
        <v>1122</v>
      </c>
      <c r="B1812" s="1375" t="str">
        <f>VLOOKUP(H1811,PRESUPUESTO!$A$18:$F$251,2,FALSE)</f>
        <v>Suministro, Transporte e Instalacion de Luminaria Hermetica 2x18W  y demás accesorios necesarios para su correcta instalación.</v>
      </c>
      <c r="C1812" s="1375"/>
      <c r="D1812" s="1375"/>
      <c r="E1812" s="1375"/>
      <c r="F1812" s="1375"/>
      <c r="G1812" s="929" t="s">
        <v>9</v>
      </c>
      <c r="H1812" s="1024" t="str">
        <f>VLOOKUP(H1811,PRESUPUESTO!$A$18:$F$251,3,FALSE)</f>
        <v>un</v>
      </c>
    </row>
    <row r="1813" spans="1:10">
      <c r="A1813" s="456"/>
      <c r="B1813" s="456"/>
      <c r="C1813" s="436"/>
      <c r="D1813" s="456"/>
      <c r="E1813" s="456"/>
      <c r="F1813" s="456"/>
      <c r="G1813" s="456"/>
      <c r="H1813" s="436"/>
    </row>
    <row r="1814" spans="1:10" ht="15.75" thickBot="1">
      <c r="A1814" s="450" t="s">
        <v>79</v>
      </c>
      <c r="B1814" s="450"/>
      <c r="C1814" s="436"/>
      <c r="D1814" s="436"/>
      <c r="E1814" s="436"/>
      <c r="F1814" s="436"/>
      <c r="G1814" s="436"/>
      <c r="H1814" s="436"/>
    </row>
    <row r="1815" spans="1:10">
      <c r="A1815" s="1345" t="s">
        <v>80</v>
      </c>
      <c r="B1815" s="1346"/>
      <c r="C1815" s="1347"/>
      <c r="D1815" s="438" t="s">
        <v>81</v>
      </c>
      <c r="E1815" s="438" t="s">
        <v>82</v>
      </c>
      <c r="F1815" s="438" t="s">
        <v>83</v>
      </c>
      <c r="G1815" s="439" t="s">
        <v>84</v>
      </c>
      <c r="H1815" s="457"/>
    </row>
    <row r="1816" spans="1:10">
      <c r="A1816" s="1357" t="s">
        <v>471</v>
      </c>
      <c r="B1816" s="1358"/>
      <c r="C1816" s="1359"/>
      <c r="D1816" s="459" t="s">
        <v>268</v>
      </c>
      <c r="E1816" s="440">
        <f>+H1840</f>
        <v>72380</v>
      </c>
      <c r="F1816" s="440">
        <v>0.05</v>
      </c>
      <c r="G1816" s="432">
        <f>E1816*F1816</f>
        <v>3619</v>
      </c>
      <c r="H1816" s="460"/>
    </row>
    <row r="1817" spans="1:10">
      <c r="A1817" s="1357" t="s">
        <v>679</v>
      </c>
      <c r="B1817" s="1358"/>
      <c r="C1817" s="1359"/>
      <c r="D1817" s="461" t="s">
        <v>680</v>
      </c>
      <c r="E1817" s="462">
        <f>19992*1.1</f>
        <v>21991.200000000001</v>
      </c>
      <c r="F1817" s="497">
        <f>1/F1835</f>
        <v>0.47619047619047616</v>
      </c>
      <c r="G1817" s="432">
        <f>E1817*F1817</f>
        <v>10472</v>
      </c>
      <c r="H1817" s="460"/>
    </row>
    <row r="1818" spans="1:10" ht="15.75" thickBot="1">
      <c r="A1818" s="1342"/>
      <c r="B1818" s="1343"/>
      <c r="C1818" s="1344"/>
      <c r="D1818" s="464"/>
      <c r="E1818" s="433"/>
      <c r="F1818" s="434"/>
      <c r="G1818" s="441">
        <f>E1818*F1818</f>
        <v>0</v>
      </c>
      <c r="H1818" s="465"/>
    </row>
    <row r="1819" spans="1:10" ht="15.75" thickBot="1">
      <c r="A1819" s="436"/>
      <c r="B1819" s="436"/>
      <c r="C1819" s="436"/>
      <c r="D1819" s="436"/>
      <c r="E1819" s="436"/>
      <c r="F1819" s="436"/>
      <c r="G1819" s="437" t="s">
        <v>86</v>
      </c>
      <c r="H1819" s="466">
        <f>SUM(G1816:G1818)</f>
        <v>14091</v>
      </c>
    </row>
    <row r="1820" spans="1:10" ht="15.75" thickBot="1">
      <c r="A1820" s="450" t="s">
        <v>87</v>
      </c>
      <c r="B1820" s="450"/>
      <c r="C1820" s="436"/>
      <c r="D1820" s="436"/>
      <c r="E1820" s="436"/>
      <c r="F1820" s="436"/>
      <c r="G1820" s="436"/>
      <c r="H1820" s="436"/>
    </row>
    <row r="1821" spans="1:10">
      <c r="A1821" s="1345" t="s">
        <v>80</v>
      </c>
      <c r="B1821" s="1346"/>
      <c r="C1821" s="1347"/>
      <c r="D1821" s="438" t="s">
        <v>88</v>
      </c>
      <c r="E1821" s="438" t="s">
        <v>89</v>
      </c>
      <c r="F1821" s="438" t="s">
        <v>90</v>
      </c>
      <c r="G1821" s="439" t="s">
        <v>84</v>
      </c>
      <c r="H1821" s="457"/>
    </row>
    <row r="1822" spans="1:10">
      <c r="A1822" s="458" t="s">
        <v>446</v>
      </c>
      <c r="B1822" s="467"/>
      <c r="C1822" s="468"/>
      <c r="D1822" s="459" t="s">
        <v>268</v>
      </c>
      <c r="E1822" s="430">
        <v>220</v>
      </c>
      <c r="F1822" s="440">
        <v>2</v>
      </c>
      <c r="G1822" s="445">
        <f>E1822*F1822</f>
        <v>440</v>
      </c>
      <c r="H1822" s="460"/>
    </row>
    <row r="1823" spans="1:10">
      <c r="A1823" s="458" t="s">
        <v>464</v>
      </c>
      <c r="B1823" s="467"/>
      <c r="C1823" s="468"/>
      <c r="D1823" s="459" t="s">
        <v>268</v>
      </c>
      <c r="E1823" s="1009">
        <f>5326*1.19</f>
        <v>6337.94</v>
      </c>
      <c r="F1823" s="440">
        <v>1</v>
      </c>
      <c r="G1823" s="445">
        <f>E1823*F1823</f>
        <v>6337.94</v>
      </c>
      <c r="H1823" s="460"/>
    </row>
    <row r="1824" spans="1:10">
      <c r="A1824" s="458" t="s">
        <v>465</v>
      </c>
      <c r="B1824" s="467"/>
      <c r="C1824" s="468"/>
      <c r="D1824" s="459" t="s">
        <v>268</v>
      </c>
      <c r="E1824" s="430">
        <v>121000</v>
      </c>
      <c r="F1824" s="440">
        <v>1</v>
      </c>
      <c r="G1824" s="445">
        <f>E1824*F1824</f>
        <v>121000</v>
      </c>
      <c r="H1824" s="460"/>
    </row>
    <row r="1825" spans="1:8">
      <c r="A1825" s="458" t="s">
        <v>466</v>
      </c>
      <c r="B1825" s="467"/>
      <c r="C1825" s="468"/>
      <c r="D1825" s="459" t="s">
        <v>268</v>
      </c>
      <c r="E1825" s="430">
        <v>3500</v>
      </c>
      <c r="F1825" s="440">
        <v>1</v>
      </c>
      <c r="G1825" s="445">
        <f>E1825*F1825</f>
        <v>3500</v>
      </c>
      <c r="H1825" s="460"/>
    </row>
    <row r="1826" spans="1:8" ht="15.75" thickBot="1">
      <c r="A1826" s="463" t="s">
        <v>443</v>
      </c>
      <c r="B1826" s="500"/>
      <c r="C1826" s="501"/>
      <c r="D1826" s="464" t="s">
        <v>268</v>
      </c>
      <c r="E1826" s="433">
        <v>246</v>
      </c>
      <c r="F1826" s="434">
        <v>4</v>
      </c>
      <c r="G1826" s="441">
        <f>E1826*F1826</f>
        <v>984</v>
      </c>
      <c r="H1826" s="460"/>
    </row>
    <row r="1827" spans="1:8" ht="15.75" thickBot="1">
      <c r="A1827" s="436"/>
      <c r="B1827" s="436"/>
      <c r="C1827" s="436"/>
      <c r="D1827" s="436"/>
      <c r="E1827" s="436"/>
      <c r="F1827" s="436"/>
      <c r="G1827" s="437" t="s">
        <v>86</v>
      </c>
      <c r="H1827" s="466">
        <f>SUM(G1822:G1826)</f>
        <v>132261.94</v>
      </c>
    </row>
    <row r="1828" spans="1:8" ht="15.75" thickBot="1">
      <c r="A1828" s="450" t="s">
        <v>94</v>
      </c>
      <c r="B1828" s="450"/>
      <c r="C1828" s="436"/>
      <c r="D1828" s="436"/>
      <c r="E1828" s="436"/>
      <c r="F1828" s="436"/>
      <c r="G1828" s="436"/>
      <c r="H1828" s="436"/>
    </row>
    <row r="1829" spans="1:8">
      <c r="A1829" s="1345" t="s">
        <v>95</v>
      </c>
      <c r="B1829" s="1346"/>
      <c r="C1829" s="1347"/>
      <c r="D1829" s="438" t="s">
        <v>88</v>
      </c>
      <c r="E1829" s="438" t="s">
        <v>89</v>
      </c>
      <c r="F1829" s="438" t="s">
        <v>90</v>
      </c>
      <c r="G1829" s="439" t="s">
        <v>84</v>
      </c>
      <c r="H1829" s="457"/>
    </row>
    <row r="1830" spans="1:8">
      <c r="A1830" s="458" t="s">
        <v>235</v>
      </c>
      <c r="B1830" s="467"/>
      <c r="C1830" s="468"/>
      <c r="D1830" s="459" t="s">
        <v>271</v>
      </c>
      <c r="E1830" s="430">
        <v>7000</v>
      </c>
      <c r="F1830" s="440">
        <v>1</v>
      </c>
      <c r="G1830" s="432">
        <f>E1830*F1830</f>
        <v>7000</v>
      </c>
      <c r="H1830" s="460"/>
    </row>
    <row r="1831" spans="1:8" ht="15.75" thickBot="1">
      <c r="A1831" s="1342"/>
      <c r="B1831" s="1343"/>
      <c r="C1831" s="1344"/>
      <c r="D1831" s="475"/>
      <c r="E1831" s="433"/>
      <c r="F1831" s="434"/>
      <c r="G1831" s="441"/>
      <c r="H1831" s="460"/>
    </row>
    <row r="1832" spans="1:8" ht="15.75" thickBot="1">
      <c r="A1832" s="436"/>
      <c r="B1832" s="436"/>
      <c r="C1832" s="436"/>
      <c r="D1832" s="436"/>
      <c r="E1832" s="436"/>
      <c r="F1832" s="436"/>
      <c r="G1832" s="437" t="s">
        <v>86</v>
      </c>
      <c r="H1832" s="466">
        <f>SUM(G1830:G1831)</f>
        <v>7000</v>
      </c>
    </row>
    <row r="1833" spans="1:8" ht="15.75" thickBot="1">
      <c r="A1833" s="450" t="s">
        <v>96</v>
      </c>
      <c r="B1833" s="450"/>
      <c r="C1833" s="436"/>
      <c r="D1833" s="436"/>
      <c r="E1833" s="436"/>
      <c r="F1833" s="436"/>
      <c r="G1833" s="436"/>
      <c r="H1833" s="436"/>
    </row>
    <row r="1834" spans="1:8">
      <c r="A1834" s="476" t="s">
        <v>97</v>
      </c>
      <c r="B1834" s="438"/>
      <c r="C1834" s="438" t="s">
        <v>98</v>
      </c>
      <c r="D1834" s="438" t="s">
        <v>99</v>
      </c>
      <c r="E1834" s="442" t="s">
        <v>100</v>
      </c>
      <c r="F1834" s="443" t="s">
        <v>83</v>
      </c>
      <c r="G1834" s="444" t="s">
        <v>84</v>
      </c>
      <c r="H1834" s="477"/>
    </row>
    <row r="1835" spans="1:8">
      <c r="A1835" s="478" t="s">
        <v>101</v>
      </c>
      <c r="B1835" s="467"/>
      <c r="C1835" s="479">
        <f>PERSONAL!$E$32</f>
        <v>87200</v>
      </c>
      <c r="D1835" s="480">
        <f>PERSONAL!$F$31</f>
        <v>1.7431000000000001</v>
      </c>
      <c r="E1835" s="440">
        <f>+D1835*C1835</f>
        <v>151998.32</v>
      </c>
      <c r="F1835" s="440">
        <v>2.1</v>
      </c>
      <c r="G1835" s="445">
        <f>ROUND(E1835/F1835,0)</f>
        <v>72380</v>
      </c>
      <c r="H1835" s="451"/>
    </row>
    <row r="1836" spans="1:8">
      <c r="A1836" s="478"/>
      <c r="B1836" s="467"/>
      <c r="C1836" s="479"/>
      <c r="D1836" s="480"/>
      <c r="E1836" s="440"/>
      <c r="F1836" s="440"/>
      <c r="G1836" s="445"/>
      <c r="H1836" s="451"/>
    </row>
    <row r="1837" spans="1:8">
      <c r="A1837" s="478"/>
      <c r="B1837" s="468"/>
      <c r="C1837" s="430"/>
      <c r="D1837" s="459"/>
      <c r="E1837" s="430"/>
      <c r="F1837" s="440"/>
      <c r="G1837" s="445"/>
      <c r="H1837" s="451"/>
    </row>
    <row r="1838" spans="1:8">
      <c r="A1838" s="478"/>
      <c r="B1838" s="468"/>
      <c r="C1838" s="430"/>
      <c r="D1838" s="459"/>
      <c r="E1838" s="430"/>
      <c r="F1838" s="440"/>
      <c r="G1838" s="445"/>
      <c r="H1838" s="451"/>
    </row>
    <row r="1839" spans="1:8" ht="15.75" thickBot="1">
      <c r="A1839" s="481"/>
      <c r="B1839" s="474"/>
      <c r="C1839" s="474"/>
      <c r="D1839" s="474"/>
      <c r="E1839" s="474"/>
      <c r="F1839" s="474"/>
      <c r="G1839" s="482"/>
      <c r="H1839" s="482"/>
    </row>
    <row r="1840" spans="1:8" ht="15.75" thickBot="1">
      <c r="A1840" s="436"/>
      <c r="B1840" s="436"/>
      <c r="C1840" s="436"/>
      <c r="D1840" s="436"/>
      <c r="E1840" s="436"/>
      <c r="F1840" s="436"/>
      <c r="G1840" s="437" t="s">
        <v>86</v>
      </c>
      <c r="H1840" s="466">
        <f>SUM(G1835:G1839)</f>
        <v>72380</v>
      </c>
    </row>
    <row r="1841" spans="1:8" ht="15.75" thickBot="1">
      <c r="A1841" s="436"/>
      <c r="B1841" s="436"/>
      <c r="C1841" s="436"/>
      <c r="D1841" s="436"/>
      <c r="E1841" s="436"/>
      <c r="F1841" s="436"/>
      <c r="G1841" s="483"/>
      <c r="H1841" s="436"/>
    </row>
    <row r="1842" spans="1:8" ht="15" customHeight="1" thickBot="1">
      <c r="A1842" s="436"/>
      <c r="B1842" s="436"/>
      <c r="C1842" s="436"/>
      <c r="D1842" s="436"/>
      <c r="E1842" s="484" t="s">
        <v>102</v>
      </c>
      <c r="F1842" s="485"/>
      <c r="G1842" s="485"/>
      <c r="H1842" s="466">
        <f>H1819+H1827+H1832+H1840</f>
        <v>225732.94</v>
      </c>
    </row>
    <row r="1843" spans="1:8" ht="15.75" thickBot="1">
      <c r="A1843" s="450" t="s">
        <v>103</v>
      </c>
      <c r="B1843" s="450"/>
      <c r="C1843" s="436"/>
      <c r="D1843" s="436"/>
      <c r="E1843" s="436"/>
      <c r="F1843" s="436"/>
      <c r="G1843" s="436"/>
      <c r="H1843" s="436"/>
    </row>
    <row r="1844" spans="1:8">
      <c r="A1844" s="487" t="s">
        <v>80</v>
      </c>
      <c r="B1844" s="488"/>
      <c r="C1844" s="488"/>
      <c r="D1844" s="488"/>
      <c r="E1844" s="489"/>
      <c r="F1844" s="490" t="s">
        <v>104</v>
      </c>
      <c r="G1844" s="491" t="s">
        <v>105</v>
      </c>
      <c r="H1844" s="457"/>
    </row>
    <row r="1845" spans="1:8">
      <c r="A1845" s="469" t="s">
        <v>106</v>
      </c>
      <c r="B1845" s="467"/>
      <c r="C1845" s="467"/>
      <c r="D1845" s="467"/>
      <c r="E1845" s="468"/>
      <c r="F1845" s="492">
        <f>PRESUPUESTO!$E$222</f>
        <v>0.109</v>
      </c>
      <c r="G1845" s="493">
        <f>+F1845*H1842</f>
        <v>24604.890459999999</v>
      </c>
      <c r="H1845" s="460"/>
    </row>
    <row r="1846" spans="1:8">
      <c r="A1846" s="469" t="s">
        <v>107</v>
      </c>
      <c r="B1846" s="467"/>
      <c r="C1846" s="467"/>
      <c r="D1846" s="467"/>
      <c r="E1846" s="468"/>
      <c r="F1846" s="492">
        <f>PRESUPUESTO!$E$223</f>
        <v>0.05</v>
      </c>
      <c r="G1846" s="493">
        <f>+F1846*H1842</f>
        <v>11286.647000000001</v>
      </c>
      <c r="H1846" s="460"/>
    </row>
    <row r="1847" spans="1:8" ht="15.75" thickBot="1">
      <c r="A1847" s="472" t="s">
        <v>108</v>
      </c>
      <c r="B1847" s="473"/>
      <c r="C1847" s="473"/>
      <c r="D1847" s="473"/>
      <c r="E1847" s="474"/>
      <c r="F1847" s="494">
        <v>0</v>
      </c>
      <c r="G1847" s="495">
        <f>+F1847*H1842</f>
        <v>0</v>
      </c>
      <c r="H1847" s="465"/>
    </row>
    <row r="1848" spans="1:8" ht="15.75" thickBot="1">
      <c r="A1848" s="436"/>
      <c r="B1848" s="436"/>
      <c r="C1848" s="436"/>
      <c r="D1848" s="436"/>
      <c r="E1848" s="436"/>
      <c r="F1848" s="436"/>
      <c r="G1848" s="437" t="s">
        <v>86</v>
      </c>
      <c r="H1848" s="496">
        <f>SUM(G1845:G1847)</f>
        <v>35891.53746</v>
      </c>
    </row>
    <row r="1849" spans="1:8" ht="15.75" thickBot="1">
      <c r="A1849" s="436"/>
      <c r="B1849" s="436"/>
      <c r="C1849" s="436"/>
      <c r="D1849" s="436"/>
      <c r="E1849" s="436"/>
      <c r="F1849" s="436"/>
      <c r="G1849" s="436"/>
      <c r="H1849" s="436"/>
    </row>
    <row r="1850" spans="1:8" ht="15.75" thickBot="1">
      <c r="A1850" s="446"/>
      <c r="B1850" s="446"/>
      <c r="C1850" s="436"/>
      <c r="D1850" s="484" t="s">
        <v>109</v>
      </c>
      <c r="E1850" s="485"/>
      <c r="F1850" s="485"/>
      <c r="G1850" s="485"/>
      <c r="H1850" s="466">
        <f>ROUND((H1842+H1848),0)</f>
        <v>261624</v>
      </c>
    </row>
    <row r="1851" spans="1:8">
      <c r="A1851" s="436"/>
      <c r="B1851" s="436"/>
      <c r="C1851" s="436"/>
      <c r="D1851" s="436"/>
      <c r="E1851" s="436"/>
      <c r="F1851" s="436"/>
      <c r="G1851" s="436"/>
      <c r="H1851" s="436"/>
    </row>
    <row r="1852" spans="1:8">
      <c r="A1852" s="186" t="s">
        <v>77</v>
      </c>
      <c r="B1852" s="446"/>
      <c r="C1852" s="446"/>
      <c r="D1852" s="446"/>
      <c r="E1852" s="446"/>
      <c r="F1852" s="446"/>
      <c r="G1852" s="446"/>
      <c r="H1852" s="446"/>
    </row>
    <row r="1853" spans="1:8" ht="15.75" thickBot="1">
      <c r="A1853" s="446"/>
      <c r="B1853" s="446"/>
      <c r="C1853" s="446"/>
      <c r="D1853" s="446"/>
      <c r="E1853" s="446"/>
      <c r="F1853" s="446"/>
      <c r="G1853" s="446"/>
      <c r="H1853" s="446"/>
    </row>
    <row r="1854" spans="1:8">
      <c r="A1854" s="1348" t="s">
        <v>213</v>
      </c>
      <c r="B1854" s="1349"/>
      <c r="C1854" s="1350"/>
      <c r="D1854" s="448"/>
      <c r="E1854" s="448"/>
      <c r="F1854" s="448"/>
      <c r="G1854" s="448"/>
      <c r="H1854" s="449"/>
    </row>
    <row r="1855" spans="1:8">
      <c r="A1855" s="1351"/>
      <c r="B1855" s="1352"/>
      <c r="C1855" s="1353"/>
      <c r="D1855" s="436"/>
      <c r="E1855" s="450" t="s">
        <v>78</v>
      </c>
      <c r="F1855" s="436"/>
      <c r="G1855" s="436"/>
      <c r="H1855" s="451"/>
    </row>
    <row r="1856" spans="1:8" ht="15.75" thickBot="1">
      <c r="A1856" s="1354"/>
      <c r="B1856" s="1355"/>
      <c r="C1856" s="1356"/>
      <c r="D1856" s="1360"/>
      <c r="E1856" s="1361"/>
      <c r="F1856" s="1361"/>
      <c r="G1856" s="1361"/>
      <c r="H1856" s="1362"/>
    </row>
    <row r="1857" spans="1:10">
      <c r="A1857" s="455"/>
      <c r="B1857" s="436"/>
      <c r="C1857" s="436"/>
      <c r="D1857" s="436"/>
      <c r="E1857" s="436"/>
      <c r="F1857" s="436"/>
      <c r="G1857" s="436"/>
      <c r="H1857" s="436"/>
    </row>
    <row r="1858" spans="1:10" s="446" customFormat="1" ht="12.75">
      <c r="A1858" s="455" t="s">
        <v>1146</v>
      </c>
      <c r="B1858" s="456" t="str">
        <f>+PRESUPUESTO!$B$70</f>
        <v>INSTALACIONES ELÉCTRICAS</v>
      </c>
      <c r="C1858" s="436"/>
      <c r="E1858" s="456"/>
      <c r="G1858" s="456" t="s">
        <v>1123</v>
      </c>
      <c r="H1858" s="483" t="s">
        <v>1202</v>
      </c>
      <c r="I1858" s="436"/>
      <c r="J1858" s="436"/>
    </row>
    <row r="1859" spans="1:10" s="931" customFormat="1" ht="52.15" customHeight="1">
      <c r="A1859" s="928" t="s">
        <v>1122</v>
      </c>
      <c r="B1859" s="1375" t="str">
        <f>VLOOKUP(H1858,PRESUPUESTO!$A$18:$F$251,2,FALSE)</f>
        <v>CERTIFICADO RETIE DEL PROYECTO</v>
      </c>
      <c r="C1859" s="1375"/>
      <c r="D1859" s="1375"/>
      <c r="E1859" s="1375"/>
      <c r="F1859" s="1375"/>
      <c r="G1859" s="929" t="s">
        <v>9</v>
      </c>
      <c r="H1859" s="1024" t="str">
        <f>VLOOKUP(H1858,PRESUPUESTO!$A$18:$F$251,3,FALSE)</f>
        <v>gl</v>
      </c>
    </row>
    <row r="1860" spans="1:10">
      <c r="A1860" s="456"/>
      <c r="B1860" s="456"/>
      <c r="C1860" s="436"/>
      <c r="D1860" s="456"/>
      <c r="E1860" s="456"/>
      <c r="F1860" s="456"/>
      <c r="G1860" s="456"/>
      <c r="H1860" s="436"/>
    </row>
    <row r="1861" spans="1:10" ht="15.75" thickBot="1">
      <c r="A1861" s="450" t="s">
        <v>79</v>
      </c>
      <c r="B1861" s="450"/>
      <c r="C1861" s="436"/>
      <c r="D1861" s="436"/>
      <c r="E1861" s="436"/>
      <c r="F1861" s="436"/>
      <c r="G1861" s="436"/>
      <c r="H1861" s="436"/>
    </row>
    <row r="1862" spans="1:10">
      <c r="A1862" s="1345" t="s">
        <v>80</v>
      </c>
      <c r="B1862" s="1346"/>
      <c r="C1862" s="1347"/>
      <c r="D1862" s="438" t="s">
        <v>81</v>
      </c>
      <c r="E1862" s="438" t="s">
        <v>82</v>
      </c>
      <c r="F1862" s="438" t="s">
        <v>83</v>
      </c>
      <c r="G1862" s="439" t="s">
        <v>84</v>
      </c>
      <c r="H1862" s="457"/>
    </row>
    <row r="1863" spans="1:10">
      <c r="A1863" s="1357" t="s">
        <v>471</v>
      </c>
      <c r="B1863" s="1358"/>
      <c r="C1863" s="1359"/>
      <c r="D1863" s="459" t="s">
        <v>268</v>
      </c>
      <c r="E1863" s="440">
        <v>1000</v>
      </c>
      <c r="F1863" s="440">
        <v>1</v>
      </c>
      <c r="G1863" s="432">
        <f>E1863*F1863</f>
        <v>1000</v>
      </c>
      <c r="H1863" s="460"/>
    </row>
    <row r="1864" spans="1:10">
      <c r="A1864" s="1357"/>
      <c r="B1864" s="1358"/>
      <c r="C1864" s="1359"/>
      <c r="D1864" s="461"/>
      <c r="E1864" s="462"/>
      <c r="F1864" s="497"/>
      <c r="G1864" s="432">
        <f>E1864*F1864</f>
        <v>0</v>
      </c>
      <c r="H1864" s="460"/>
    </row>
    <row r="1865" spans="1:10" ht="15.75" thickBot="1">
      <c r="A1865" s="1342"/>
      <c r="B1865" s="1343"/>
      <c r="C1865" s="1344"/>
      <c r="D1865" s="464"/>
      <c r="E1865" s="433"/>
      <c r="F1865" s="434"/>
      <c r="G1865" s="441">
        <f>E1865*F1865</f>
        <v>0</v>
      </c>
      <c r="H1865" s="465"/>
    </row>
    <row r="1866" spans="1:10" ht="15.75" thickBot="1">
      <c r="A1866" s="436"/>
      <c r="B1866" s="436"/>
      <c r="C1866" s="436"/>
      <c r="D1866" s="436"/>
      <c r="E1866" s="436"/>
      <c r="F1866" s="436"/>
      <c r="G1866" s="437" t="s">
        <v>86</v>
      </c>
      <c r="H1866" s="466">
        <f>SUM(G1863:G1865)</f>
        <v>1000</v>
      </c>
    </row>
    <row r="1867" spans="1:10" ht="15.75" thickBot="1">
      <c r="A1867" s="450" t="s">
        <v>87</v>
      </c>
      <c r="B1867" s="450"/>
      <c r="C1867" s="436"/>
      <c r="D1867" s="436"/>
      <c r="E1867" s="436"/>
      <c r="F1867" s="436"/>
      <c r="G1867" s="436"/>
      <c r="H1867" s="436"/>
    </row>
    <row r="1868" spans="1:10">
      <c r="A1868" s="1345" t="s">
        <v>80</v>
      </c>
      <c r="B1868" s="1346"/>
      <c r="C1868" s="1347"/>
      <c r="D1868" s="438" t="s">
        <v>88</v>
      </c>
      <c r="E1868" s="438" t="s">
        <v>89</v>
      </c>
      <c r="F1868" s="438" t="s">
        <v>90</v>
      </c>
      <c r="G1868" s="439" t="s">
        <v>84</v>
      </c>
      <c r="H1868" s="457"/>
    </row>
    <row r="1869" spans="1:10" ht="15" customHeight="1">
      <c r="A1869" s="469" t="s">
        <v>467</v>
      </c>
      <c r="B1869" s="467"/>
      <c r="C1869" s="471"/>
      <c r="D1869" s="459" t="s">
        <v>268</v>
      </c>
      <c r="E1869" s="430">
        <v>6000000</v>
      </c>
      <c r="F1869" s="440">
        <v>1</v>
      </c>
      <c r="G1869" s="432">
        <f>E1869*F1869</f>
        <v>6000000</v>
      </c>
      <c r="H1869" s="460"/>
    </row>
    <row r="1870" spans="1:10">
      <c r="A1870" s="469"/>
      <c r="B1870" s="467"/>
      <c r="C1870" s="471"/>
      <c r="D1870" s="459"/>
      <c r="E1870" s="430"/>
      <c r="F1870" s="440"/>
      <c r="G1870" s="432"/>
      <c r="H1870" s="460"/>
    </row>
    <row r="1871" spans="1:10">
      <c r="A1871" s="469"/>
      <c r="B1871" s="467"/>
      <c r="C1871" s="471"/>
      <c r="D1871" s="459"/>
      <c r="E1871" s="430"/>
      <c r="F1871" s="431"/>
      <c r="G1871" s="432"/>
      <c r="H1871" s="460"/>
    </row>
    <row r="1872" spans="1:10">
      <c r="A1872" s="469"/>
      <c r="B1872" s="467"/>
      <c r="C1872" s="468"/>
      <c r="D1872" s="459"/>
      <c r="E1872" s="430"/>
      <c r="F1872" s="431"/>
      <c r="G1872" s="432"/>
      <c r="H1872" s="460"/>
    </row>
    <row r="1873" spans="1:8">
      <c r="A1873" s="469"/>
      <c r="B1873" s="467"/>
      <c r="C1873" s="468"/>
      <c r="D1873" s="459"/>
      <c r="E1873" s="430"/>
      <c r="F1873" s="431"/>
      <c r="G1873" s="432"/>
      <c r="H1873" s="460"/>
    </row>
    <row r="1874" spans="1:8" ht="15.75" thickBot="1">
      <c r="A1874" s="472"/>
      <c r="B1874" s="473"/>
      <c r="C1874" s="474"/>
      <c r="D1874" s="464"/>
      <c r="E1874" s="433"/>
      <c r="F1874" s="434"/>
      <c r="G1874" s="435"/>
      <c r="H1874" s="465"/>
    </row>
    <row r="1875" spans="1:8" ht="15.75" thickBot="1">
      <c r="A1875" s="436"/>
      <c r="B1875" s="436"/>
      <c r="C1875" s="436"/>
      <c r="D1875" s="436"/>
      <c r="E1875" s="436"/>
      <c r="F1875" s="436"/>
      <c r="G1875" s="437" t="s">
        <v>86</v>
      </c>
      <c r="H1875" s="466">
        <f>SUM(G1869:G1874)</f>
        <v>6000000</v>
      </c>
    </row>
    <row r="1876" spans="1:8" ht="15.75" thickBot="1">
      <c r="A1876" s="450" t="s">
        <v>94</v>
      </c>
      <c r="B1876" s="450"/>
      <c r="C1876" s="436"/>
      <c r="D1876" s="436"/>
      <c r="E1876" s="436"/>
      <c r="F1876" s="436"/>
      <c r="G1876" s="436"/>
      <c r="H1876" s="436"/>
    </row>
    <row r="1877" spans="1:8">
      <c r="A1877" s="1345" t="s">
        <v>95</v>
      </c>
      <c r="B1877" s="1346"/>
      <c r="C1877" s="1347"/>
      <c r="D1877" s="438" t="s">
        <v>88</v>
      </c>
      <c r="E1877" s="438" t="s">
        <v>89</v>
      </c>
      <c r="F1877" s="438" t="s">
        <v>90</v>
      </c>
      <c r="G1877" s="439" t="s">
        <v>84</v>
      </c>
      <c r="H1877" s="457"/>
    </row>
    <row r="1878" spans="1:8">
      <c r="A1878" s="458" t="s">
        <v>235</v>
      </c>
      <c r="B1878" s="467"/>
      <c r="C1878" s="468"/>
      <c r="D1878" s="459" t="s">
        <v>268</v>
      </c>
      <c r="E1878" s="430">
        <v>500000</v>
      </c>
      <c r="F1878" s="440">
        <v>1</v>
      </c>
      <c r="G1878" s="432">
        <f>E1878*F1878</f>
        <v>500000</v>
      </c>
      <c r="H1878" s="460"/>
    </row>
    <row r="1879" spans="1:8" ht="15.75" thickBot="1">
      <c r="A1879" s="1342"/>
      <c r="B1879" s="1343"/>
      <c r="C1879" s="1344"/>
      <c r="D1879" s="475"/>
      <c r="E1879" s="433"/>
      <c r="F1879" s="434"/>
      <c r="G1879" s="441"/>
      <c r="H1879" s="460"/>
    </row>
    <row r="1880" spans="1:8" ht="15.75" thickBot="1">
      <c r="A1880" s="436"/>
      <c r="B1880" s="436"/>
      <c r="C1880" s="436"/>
      <c r="D1880" s="436"/>
      <c r="E1880" s="436"/>
      <c r="F1880" s="436"/>
      <c r="G1880" s="437" t="s">
        <v>86</v>
      </c>
      <c r="H1880" s="466">
        <f>SUM(G1878:G1879)</f>
        <v>500000</v>
      </c>
    </row>
    <row r="1881" spans="1:8" ht="15.75" thickBot="1">
      <c r="A1881" s="450" t="s">
        <v>96</v>
      </c>
      <c r="B1881" s="450"/>
      <c r="C1881" s="436"/>
      <c r="D1881" s="436"/>
      <c r="E1881" s="436"/>
      <c r="F1881" s="436"/>
      <c r="G1881" s="436"/>
      <c r="H1881" s="436"/>
    </row>
    <row r="1882" spans="1:8">
      <c r="A1882" s="476" t="s">
        <v>97</v>
      </c>
      <c r="B1882" s="438"/>
      <c r="C1882" s="438" t="s">
        <v>98</v>
      </c>
      <c r="D1882" s="438" t="s">
        <v>99</v>
      </c>
      <c r="E1882" s="442" t="s">
        <v>100</v>
      </c>
      <c r="F1882" s="443" t="s">
        <v>83</v>
      </c>
      <c r="G1882" s="444" t="s">
        <v>84</v>
      </c>
      <c r="H1882" s="477"/>
    </row>
    <row r="1883" spans="1:8">
      <c r="A1883" s="478" t="s">
        <v>101</v>
      </c>
      <c r="B1883" s="467"/>
      <c r="C1883" s="479">
        <f>PERSONAL!$E$32</f>
        <v>87200</v>
      </c>
      <c r="D1883" s="480">
        <f>PERSONAL!$F$31</f>
        <v>1.7431000000000001</v>
      </c>
      <c r="E1883" s="440">
        <f>+D1883*C1883</f>
        <v>151998.32</v>
      </c>
      <c r="F1883" s="440">
        <v>171.17596487908045</v>
      </c>
      <c r="G1883" s="445">
        <f>ROUND(E1883/F1883,0)</f>
        <v>888</v>
      </c>
      <c r="H1883" s="451"/>
    </row>
    <row r="1884" spans="1:8">
      <c r="A1884" s="478"/>
      <c r="B1884" s="467"/>
      <c r="C1884" s="479"/>
      <c r="D1884" s="480"/>
      <c r="E1884" s="440"/>
      <c r="F1884" s="440"/>
      <c r="G1884" s="445"/>
      <c r="H1884" s="451"/>
    </row>
    <row r="1885" spans="1:8">
      <c r="A1885" s="478"/>
      <c r="B1885" s="468"/>
      <c r="C1885" s="430"/>
      <c r="D1885" s="459"/>
      <c r="E1885" s="430"/>
      <c r="F1885" s="440"/>
      <c r="G1885" s="445"/>
      <c r="H1885" s="451"/>
    </row>
    <row r="1886" spans="1:8">
      <c r="A1886" s="478"/>
      <c r="B1886" s="468"/>
      <c r="C1886" s="430"/>
      <c r="D1886" s="459"/>
      <c r="E1886" s="430"/>
      <c r="F1886" s="440"/>
      <c r="G1886" s="445"/>
      <c r="H1886" s="451"/>
    </row>
    <row r="1887" spans="1:8" ht="15.75" thickBot="1">
      <c r="A1887" s="481"/>
      <c r="B1887" s="474"/>
      <c r="C1887" s="474"/>
      <c r="D1887" s="474"/>
      <c r="E1887" s="474"/>
      <c r="F1887" s="474"/>
      <c r="G1887" s="482"/>
      <c r="H1887" s="482"/>
    </row>
    <row r="1888" spans="1:8">
      <c r="A1888" s="436"/>
      <c r="B1888" s="436"/>
      <c r="C1888" s="436"/>
      <c r="D1888" s="436"/>
      <c r="E1888" s="436"/>
      <c r="F1888" s="436"/>
      <c r="G1888" s="437" t="s">
        <v>86</v>
      </c>
      <c r="H1888" s="466">
        <f>SUM(G1883:G1887)</f>
        <v>888</v>
      </c>
    </row>
    <row r="1889" spans="1:8" ht="15.75" thickBot="1">
      <c r="A1889" s="436"/>
      <c r="B1889" s="436"/>
      <c r="C1889" s="436"/>
      <c r="D1889" s="436"/>
      <c r="E1889" s="436"/>
      <c r="F1889" s="436"/>
      <c r="G1889" s="483"/>
      <c r="H1889" s="436"/>
    </row>
    <row r="1890" spans="1:8" ht="15.75" thickBot="1">
      <c r="A1890" s="436"/>
      <c r="B1890" s="436"/>
      <c r="C1890" s="436"/>
      <c r="D1890" s="436"/>
      <c r="E1890" s="484" t="s">
        <v>102</v>
      </c>
      <c r="F1890" s="485"/>
      <c r="G1890" s="485"/>
      <c r="H1890" s="466">
        <f>H1866+H1875+H1880+H1888</f>
        <v>6501888</v>
      </c>
    </row>
    <row r="1891" spans="1:8" ht="15.75" thickBot="1">
      <c r="A1891" s="450" t="s">
        <v>103</v>
      </c>
      <c r="B1891" s="450"/>
      <c r="C1891" s="436"/>
      <c r="D1891" s="436"/>
      <c r="E1891" s="436"/>
      <c r="F1891" s="436"/>
      <c r="G1891" s="436"/>
      <c r="H1891" s="436"/>
    </row>
    <row r="1892" spans="1:8">
      <c r="A1892" s="487" t="s">
        <v>80</v>
      </c>
      <c r="B1892" s="488"/>
      <c r="C1892" s="488"/>
      <c r="D1892" s="488"/>
      <c r="E1892" s="489"/>
      <c r="F1892" s="490" t="s">
        <v>104</v>
      </c>
      <c r="G1892" s="491" t="s">
        <v>105</v>
      </c>
      <c r="H1892" s="457"/>
    </row>
    <row r="1893" spans="1:8">
      <c r="A1893" s="469" t="s">
        <v>106</v>
      </c>
      <c r="B1893" s="467"/>
      <c r="C1893" s="467"/>
      <c r="D1893" s="467"/>
      <c r="E1893" s="468"/>
      <c r="F1893" s="492">
        <f>PRESUPUESTO!$E$222</f>
        <v>0.109</v>
      </c>
      <c r="G1893" s="493">
        <f>+F1893*H1890</f>
        <v>708705.79200000002</v>
      </c>
      <c r="H1893" s="460"/>
    </row>
    <row r="1894" spans="1:8">
      <c r="A1894" s="469" t="s">
        <v>107</v>
      </c>
      <c r="B1894" s="467"/>
      <c r="C1894" s="467"/>
      <c r="D1894" s="467"/>
      <c r="E1894" s="468"/>
      <c r="F1894" s="492">
        <f>PRESUPUESTO!$E$223</f>
        <v>0.05</v>
      </c>
      <c r="G1894" s="493">
        <f>+F1894*H1890</f>
        <v>325094.40000000002</v>
      </c>
      <c r="H1894" s="460"/>
    </row>
    <row r="1895" spans="1:8" ht="15.75" thickBot="1">
      <c r="A1895" s="472" t="s">
        <v>108</v>
      </c>
      <c r="B1895" s="473"/>
      <c r="C1895" s="473"/>
      <c r="D1895" s="473"/>
      <c r="E1895" s="474"/>
      <c r="F1895" s="494">
        <v>0</v>
      </c>
      <c r="G1895" s="495">
        <f>+F1895*H1890</f>
        <v>0</v>
      </c>
      <c r="H1895" s="465"/>
    </row>
    <row r="1896" spans="1:8" ht="15.75" thickBot="1">
      <c r="A1896" s="436"/>
      <c r="B1896" s="436"/>
      <c r="C1896" s="436"/>
      <c r="D1896" s="436"/>
      <c r="E1896" s="436"/>
      <c r="F1896" s="436"/>
      <c r="G1896" s="437" t="s">
        <v>86</v>
      </c>
      <c r="H1896" s="496">
        <f>SUM(G1893:G1895)</f>
        <v>1033800.192</v>
      </c>
    </row>
    <row r="1897" spans="1:8" ht="15.75" thickBot="1">
      <c r="A1897" s="436"/>
      <c r="B1897" s="436"/>
      <c r="C1897" s="436"/>
      <c r="D1897" s="436"/>
      <c r="E1897" s="436"/>
      <c r="F1897" s="436"/>
      <c r="G1897" s="436"/>
      <c r="H1897" s="436"/>
    </row>
    <row r="1898" spans="1:8" ht="15.75" thickBot="1">
      <c r="A1898" s="446"/>
      <c r="B1898" s="446"/>
      <c r="C1898" s="436"/>
      <c r="D1898" s="484" t="s">
        <v>109</v>
      </c>
      <c r="E1898" s="485"/>
      <c r="F1898" s="485"/>
      <c r="G1898" s="485"/>
      <c r="H1898" s="466">
        <f>ROUND((H1890+H1896),0)</f>
        <v>7535688</v>
      </c>
    </row>
    <row r="1899" spans="1:8">
      <c r="A1899" s="436"/>
      <c r="B1899" s="436"/>
      <c r="C1899" s="436"/>
      <c r="D1899" s="436"/>
      <c r="E1899" s="436"/>
      <c r="F1899" s="436"/>
      <c r="G1899" s="436"/>
      <c r="H1899" s="436"/>
    </row>
    <row r="1900" spans="1:8">
      <c r="A1900" s="186" t="s">
        <v>77</v>
      </c>
      <c r="B1900" s="446"/>
      <c r="C1900" s="446"/>
      <c r="D1900" s="446"/>
      <c r="E1900" s="446"/>
      <c r="F1900" s="446"/>
      <c r="G1900" s="446"/>
      <c r="H1900" s="446"/>
    </row>
    <row r="1901" spans="1:8" ht="15.75" thickBot="1">
      <c r="A1901" s="446"/>
      <c r="B1901" s="446"/>
      <c r="C1901" s="446"/>
      <c r="D1901" s="446"/>
      <c r="E1901" s="446"/>
      <c r="F1901" s="446"/>
      <c r="G1901" s="446"/>
      <c r="H1901" s="446"/>
    </row>
    <row r="1902" spans="1:8">
      <c r="A1902" s="1348" t="s">
        <v>213</v>
      </c>
      <c r="B1902" s="1349"/>
      <c r="C1902" s="1350"/>
      <c r="D1902" s="448"/>
      <c r="E1902" s="448"/>
      <c r="F1902" s="448"/>
      <c r="G1902" s="448"/>
      <c r="H1902" s="449"/>
    </row>
    <row r="1903" spans="1:8">
      <c r="A1903" s="1351"/>
      <c r="B1903" s="1352"/>
      <c r="C1903" s="1353"/>
      <c r="D1903" s="436"/>
      <c r="E1903" s="450" t="s">
        <v>78</v>
      </c>
      <c r="F1903" s="436"/>
      <c r="G1903" s="436"/>
      <c r="H1903" s="451"/>
    </row>
    <row r="1904" spans="1:8" ht="15.75" thickBot="1">
      <c r="A1904" s="1354"/>
      <c r="B1904" s="1355"/>
      <c r="C1904" s="1356"/>
      <c r="D1904" s="1360"/>
      <c r="E1904" s="1361"/>
      <c r="F1904" s="1361"/>
      <c r="G1904" s="1361"/>
      <c r="H1904" s="1362"/>
    </row>
    <row r="1905" spans="1:10">
      <c r="A1905" s="455"/>
      <c r="B1905" s="436"/>
      <c r="C1905" s="436"/>
      <c r="D1905" s="436"/>
      <c r="E1905" s="436"/>
      <c r="F1905" s="436"/>
      <c r="G1905" s="436"/>
      <c r="H1905" s="436"/>
    </row>
    <row r="1906" spans="1:10" s="446" customFormat="1" ht="12.75">
      <c r="A1906" s="455" t="s">
        <v>1146</v>
      </c>
      <c r="B1906" s="456" t="str">
        <f>+PRESUPUESTO!$B$70</f>
        <v>INSTALACIONES ELÉCTRICAS</v>
      </c>
      <c r="C1906" s="436"/>
      <c r="E1906" s="456"/>
      <c r="G1906" s="456" t="s">
        <v>1123</v>
      </c>
      <c r="H1906" s="483" t="s">
        <v>1203</v>
      </c>
      <c r="I1906" s="436"/>
      <c r="J1906" s="436"/>
    </row>
    <row r="1907" spans="1:10" s="931" customFormat="1" ht="52.15" customHeight="1">
      <c r="A1907" s="928" t="s">
        <v>1122</v>
      </c>
      <c r="B1907" s="1375" t="str">
        <f>VLOOKUP(H1906,PRESUPUESTO!$A$18:$F$251,2,FALSE)</f>
        <v>CERTIFICADO RETILAP DEL PROYECTO</v>
      </c>
      <c r="C1907" s="1375"/>
      <c r="D1907" s="1375"/>
      <c r="E1907" s="1375"/>
      <c r="F1907" s="1375"/>
      <c r="G1907" s="929" t="s">
        <v>9</v>
      </c>
      <c r="H1907" s="1024" t="str">
        <f>VLOOKUP(H1906,PRESUPUESTO!$A$18:$F$251,3,FALSE)</f>
        <v>gl</v>
      </c>
    </row>
    <row r="1908" spans="1:10">
      <c r="A1908" s="456"/>
      <c r="B1908" s="456"/>
      <c r="C1908" s="436"/>
      <c r="D1908" s="456"/>
      <c r="E1908" s="456"/>
      <c r="F1908" s="456"/>
      <c r="G1908" s="456"/>
      <c r="H1908" s="436"/>
    </row>
    <row r="1909" spans="1:10" ht="15.75" thickBot="1">
      <c r="A1909" s="450" t="s">
        <v>79</v>
      </c>
      <c r="B1909" s="450"/>
      <c r="C1909" s="436"/>
      <c r="D1909" s="436"/>
      <c r="E1909" s="436"/>
      <c r="F1909" s="436"/>
      <c r="G1909" s="436"/>
      <c r="H1909" s="436"/>
    </row>
    <row r="1910" spans="1:10">
      <c r="A1910" s="1345" t="s">
        <v>80</v>
      </c>
      <c r="B1910" s="1346"/>
      <c r="C1910" s="1347"/>
      <c r="D1910" s="438" t="s">
        <v>81</v>
      </c>
      <c r="E1910" s="438" t="s">
        <v>82</v>
      </c>
      <c r="F1910" s="438" t="s">
        <v>83</v>
      </c>
      <c r="G1910" s="439" t="s">
        <v>84</v>
      </c>
      <c r="H1910" s="457"/>
    </row>
    <row r="1911" spans="1:10">
      <c r="A1911" s="1357" t="s">
        <v>471</v>
      </c>
      <c r="B1911" s="1358"/>
      <c r="C1911" s="1359"/>
      <c r="D1911" s="459" t="s">
        <v>268</v>
      </c>
      <c r="E1911" s="440">
        <v>1000</v>
      </c>
      <c r="F1911" s="440">
        <v>1</v>
      </c>
      <c r="G1911" s="432">
        <f>E1911*F1911</f>
        <v>1000</v>
      </c>
      <c r="H1911" s="460"/>
    </row>
    <row r="1912" spans="1:10">
      <c r="A1912" s="1357"/>
      <c r="B1912" s="1358"/>
      <c r="C1912" s="1359"/>
      <c r="D1912" s="461"/>
      <c r="E1912" s="462"/>
      <c r="F1912" s="497"/>
      <c r="G1912" s="432">
        <f>E1912*F1912</f>
        <v>0</v>
      </c>
      <c r="H1912" s="460"/>
    </row>
    <row r="1913" spans="1:10" ht="15.75" thickBot="1">
      <c r="A1913" s="1342"/>
      <c r="B1913" s="1343"/>
      <c r="C1913" s="1344"/>
      <c r="D1913" s="464"/>
      <c r="E1913" s="433"/>
      <c r="F1913" s="434"/>
      <c r="G1913" s="441">
        <f>E1913*F1913</f>
        <v>0</v>
      </c>
      <c r="H1913" s="465"/>
    </row>
    <row r="1914" spans="1:10" ht="15.75" thickBot="1">
      <c r="A1914" s="436"/>
      <c r="B1914" s="436"/>
      <c r="C1914" s="436"/>
      <c r="D1914" s="436"/>
      <c r="E1914" s="436"/>
      <c r="F1914" s="436"/>
      <c r="G1914" s="437" t="s">
        <v>86</v>
      </c>
      <c r="H1914" s="466">
        <f>SUM(G1911:G1913)</f>
        <v>1000</v>
      </c>
    </row>
    <row r="1915" spans="1:10" ht="15.75" thickBot="1">
      <c r="A1915" s="450" t="s">
        <v>87</v>
      </c>
      <c r="B1915" s="450"/>
      <c r="C1915" s="436"/>
      <c r="D1915" s="436"/>
      <c r="E1915" s="436"/>
      <c r="F1915" s="436"/>
      <c r="G1915" s="436"/>
      <c r="H1915" s="436"/>
    </row>
    <row r="1916" spans="1:10">
      <c r="A1916" s="1345" t="s">
        <v>80</v>
      </c>
      <c r="B1916" s="1346"/>
      <c r="C1916" s="1347"/>
      <c r="D1916" s="438" t="s">
        <v>88</v>
      </c>
      <c r="E1916" s="438" t="s">
        <v>89</v>
      </c>
      <c r="F1916" s="438" t="s">
        <v>90</v>
      </c>
      <c r="G1916" s="439" t="s">
        <v>84</v>
      </c>
      <c r="H1916" s="457"/>
    </row>
    <row r="1917" spans="1:10">
      <c r="A1917" s="469" t="s">
        <v>419</v>
      </c>
      <c r="B1917" s="467"/>
      <c r="C1917" s="471"/>
      <c r="D1917" s="459" t="s">
        <v>268</v>
      </c>
      <c r="E1917" s="430">
        <v>6000000</v>
      </c>
      <c r="F1917" s="440">
        <v>1</v>
      </c>
      <c r="G1917" s="432">
        <f>E1917*F1917</f>
        <v>6000000</v>
      </c>
      <c r="H1917" s="460"/>
    </row>
    <row r="1918" spans="1:10">
      <c r="A1918" s="469"/>
      <c r="B1918" s="467"/>
      <c r="C1918" s="471"/>
      <c r="D1918" s="459"/>
      <c r="E1918" s="430"/>
      <c r="F1918" s="440"/>
      <c r="G1918" s="432"/>
      <c r="H1918" s="460"/>
    </row>
    <row r="1919" spans="1:10">
      <c r="A1919" s="469"/>
      <c r="B1919" s="467"/>
      <c r="C1919" s="471"/>
      <c r="D1919" s="459"/>
      <c r="E1919" s="430"/>
      <c r="F1919" s="431"/>
      <c r="G1919" s="432"/>
      <c r="H1919" s="460"/>
    </row>
    <row r="1920" spans="1:10">
      <c r="A1920" s="469"/>
      <c r="B1920" s="467"/>
      <c r="C1920" s="468"/>
      <c r="D1920" s="459"/>
      <c r="E1920" s="430"/>
      <c r="F1920" s="431"/>
      <c r="G1920" s="432"/>
      <c r="H1920" s="460"/>
    </row>
    <row r="1921" spans="1:8">
      <c r="A1921" s="469"/>
      <c r="B1921" s="467"/>
      <c r="C1921" s="468"/>
      <c r="D1921" s="459"/>
      <c r="E1921" s="430"/>
      <c r="F1921" s="431"/>
      <c r="G1921" s="432"/>
      <c r="H1921" s="460"/>
    </row>
    <row r="1922" spans="1:8" ht="15.75" thickBot="1">
      <c r="A1922" s="472"/>
      <c r="B1922" s="473"/>
      <c r="C1922" s="474"/>
      <c r="D1922" s="464"/>
      <c r="E1922" s="433"/>
      <c r="F1922" s="434"/>
      <c r="G1922" s="435"/>
      <c r="H1922" s="465"/>
    </row>
    <row r="1923" spans="1:8" ht="15.75" thickBot="1">
      <c r="A1923" s="436"/>
      <c r="B1923" s="436"/>
      <c r="C1923" s="436"/>
      <c r="D1923" s="436"/>
      <c r="E1923" s="436"/>
      <c r="F1923" s="436"/>
      <c r="G1923" s="437" t="s">
        <v>86</v>
      </c>
      <c r="H1923" s="466">
        <f>SUM(G1917:G1922)</f>
        <v>6000000</v>
      </c>
    </row>
    <row r="1924" spans="1:8" ht="15.75" thickBot="1">
      <c r="A1924" s="450" t="s">
        <v>94</v>
      </c>
      <c r="B1924" s="450"/>
      <c r="C1924" s="436"/>
      <c r="D1924" s="436"/>
      <c r="E1924" s="436"/>
      <c r="F1924" s="436"/>
      <c r="G1924" s="436"/>
      <c r="H1924" s="436"/>
    </row>
    <row r="1925" spans="1:8">
      <c r="A1925" s="1345" t="s">
        <v>95</v>
      </c>
      <c r="B1925" s="1346"/>
      <c r="C1925" s="1347"/>
      <c r="D1925" s="438" t="s">
        <v>88</v>
      </c>
      <c r="E1925" s="438" t="s">
        <v>89</v>
      </c>
      <c r="F1925" s="438" t="s">
        <v>90</v>
      </c>
      <c r="G1925" s="439" t="s">
        <v>84</v>
      </c>
      <c r="H1925" s="457"/>
    </row>
    <row r="1926" spans="1:8">
      <c r="A1926" s="458" t="s">
        <v>235</v>
      </c>
      <c r="B1926" s="467"/>
      <c r="C1926" s="468"/>
      <c r="D1926" s="459" t="s">
        <v>268</v>
      </c>
      <c r="E1926" s="430">
        <v>500000</v>
      </c>
      <c r="F1926" s="440">
        <v>1</v>
      </c>
      <c r="G1926" s="432">
        <f>E1926*F1926</f>
        <v>500000</v>
      </c>
      <c r="H1926" s="460"/>
    </row>
    <row r="1927" spans="1:8" ht="15.75" thickBot="1">
      <c r="A1927" s="1342"/>
      <c r="B1927" s="1343"/>
      <c r="C1927" s="1344"/>
      <c r="D1927" s="475"/>
      <c r="E1927" s="433"/>
      <c r="F1927" s="434"/>
      <c r="G1927" s="441"/>
      <c r="H1927" s="460"/>
    </row>
    <row r="1928" spans="1:8" ht="15.75" thickBot="1">
      <c r="A1928" s="436"/>
      <c r="B1928" s="436"/>
      <c r="C1928" s="436"/>
      <c r="D1928" s="436"/>
      <c r="E1928" s="436"/>
      <c r="F1928" s="436"/>
      <c r="G1928" s="437" t="s">
        <v>86</v>
      </c>
      <c r="H1928" s="466">
        <f>SUM(G1926:G1927)</f>
        <v>500000</v>
      </c>
    </row>
    <row r="1929" spans="1:8" ht="15.75" thickBot="1">
      <c r="A1929" s="450" t="s">
        <v>96</v>
      </c>
      <c r="B1929" s="450"/>
      <c r="C1929" s="436"/>
      <c r="D1929" s="436"/>
      <c r="E1929" s="436"/>
      <c r="F1929" s="436"/>
      <c r="G1929" s="436"/>
      <c r="H1929" s="436"/>
    </row>
    <row r="1930" spans="1:8">
      <c r="A1930" s="476" t="s">
        <v>97</v>
      </c>
      <c r="B1930" s="438"/>
      <c r="C1930" s="438" t="s">
        <v>98</v>
      </c>
      <c r="D1930" s="438" t="s">
        <v>99</v>
      </c>
      <c r="E1930" s="442" t="s">
        <v>100</v>
      </c>
      <c r="F1930" s="443" t="s">
        <v>83</v>
      </c>
      <c r="G1930" s="444" t="s">
        <v>84</v>
      </c>
      <c r="H1930" s="477"/>
    </row>
    <row r="1931" spans="1:8">
      <c r="A1931" s="478" t="s">
        <v>101</v>
      </c>
      <c r="B1931" s="467"/>
      <c r="C1931" s="479">
        <f>PERSONAL!$E$32</f>
        <v>87200</v>
      </c>
      <c r="D1931" s="480">
        <f>PERSONAL!$F$31</f>
        <v>1.7431000000000001</v>
      </c>
      <c r="E1931" s="440">
        <f>+D1931*C1931</f>
        <v>151998.32</v>
      </c>
      <c r="F1931" s="440">
        <v>171.17596487908045</v>
      </c>
      <c r="G1931" s="445">
        <f>ROUND(E1931/F1931,0)</f>
        <v>888</v>
      </c>
      <c r="H1931" s="451"/>
    </row>
    <row r="1932" spans="1:8">
      <c r="A1932" s="478"/>
      <c r="B1932" s="467"/>
      <c r="C1932" s="479"/>
      <c r="D1932" s="480"/>
      <c r="E1932" s="440"/>
      <c r="F1932" s="440"/>
      <c r="G1932" s="445"/>
      <c r="H1932" s="451"/>
    </row>
    <row r="1933" spans="1:8">
      <c r="A1933" s="478"/>
      <c r="B1933" s="468"/>
      <c r="C1933" s="430"/>
      <c r="D1933" s="459"/>
      <c r="E1933" s="430"/>
      <c r="F1933" s="440"/>
      <c r="G1933" s="445"/>
      <c r="H1933" s="451"/>
    </row>
    <row r="1934" spans="1:8">
      <c r="A1934" s="478"/>
      <c r="B1934" s="468"/>
      <c r="C1934" s="430"/>
      <c r="D1934" s="459"/>
      <c r="E1934" s="430"/>
      <c r="F1934" s="440"/>
      <c r="G1934" s="445"/>
      <c r="H1934" s="451"/>
    </row>
    <row r="1935" spans="1:8" ht="15.75" thickBot="1">
      <c r="A1935" s="481"/>
      <c r="B1935" s="474"/>
      <c r="C1935" s="474"/>
      <c r="D1935" s="474"/>
      <c r="E1935" s="474"/>
      <c r="F1935" s="474"/>
      <c r="G1935" s="482"/>
      <c r="H1935" s="482"/>
    </row>
    <row r="1936" spans="1:8" ht="15.75" thickBot="1">
      <c r="A1936" s="436"/>
      <c r="B1936" s="436"/>
      <c r="C1936" s="436"/>
      <c r="D1936" s="436"/>
      <c r="E1936" s="436"/>
      <c r="F1936" s="436"/>
      <c r="G1936" s="437" t="s">
        <v>86</v>
      </c>
      <c r="H1936" s="466">
        <f>SUM(G1931:G1935)</f>
        <v>888</v>
      </c>
    </row>
    <row r="1937" spans="1:8" ht="15.75" thickBot="1">
      <c r="A1937" s="436"/>
      <c r="B1937" s="436"/>
      <c r="C1937" s="436"/>
      <c r="D1937" s="436"/>
      <c r="E1937" s="436"/>
      <c r="F1937" s="436"/>
      <c r="G1937" s="483"/>
      <c r="H1937" s="436"/>
    </row>
    <row r="1938" spans="1:8" ht="15.75" thickBot="1">
      <c r="A1938" s="436"/>
      <c r="B1938" s="436"/>
      <c r="C1938" s="436"/>
      <c r="D1938" s="436"/>
      <c r="E1938" s="484" t="s">
        <v>102</v>
      </c>
      <c r="F1938" s="485"/>
      <c r="G1938" s="485"/>
      <c r="H1938" s="466">
        <f>H1914+H1923+H1928+H1936</f>
        <v>6501888</v>
      </c>
    </row>
    <row r="1939" spans="1:8" ht="15.75" thickBot="1">
      <c r="A1939" s="450" t="s">
        <v>103</v>
      </c>
      <c r="B1939" s="450"/>
      <c r="C1939" s="436"/>
      <c r="D1939" s="436"/>
      <c r="E1939" s="436"/>
      <c r="F1939" s="436"/>
      <c r="G1939" s="436"/>
      <c r="H1939" s="436"/>
    </row>
    <row r="1940" spans="1:8">
      <c r="A1940" s="487" t="s">
        <v>80</v>
      </c>
      <c r="B1940" s="488"/>
      <c r="C1940" s="488"/>
      <c r="D1940" s="488"/>
      <c r="E1940" s="489"/>
      <c r="F1940" s="490" t="s">
        <v>104</v>
      </c>
      <c r="G1940" s="491" t="s">
        <v>105</v>
      </c>
      <c r="H1940" s="457"/>
    </row>
    <row r="1941" spans="1:8">
      <c r="A1941" s="469" t="s">
        <v>106</v>
      </c>
      <c r="B1941" s="467"/>
      <c r="C1941" s="467"/>
      <c r="D1941" s="467"/>
      <c r="E1941" s="468"/>
      <c r="F1941" s="492">
        <f>PRESUPUESTO!$E$222</f>
        <v>0.109</v>
      </c>
      <c r="G1941" s="493">
        <f>+F1941*H1938</f>
        <v>708705.79200000002</v>
      </c>
      <c r="H1941" s="460"/>
    </row>
    <row r="1942" spans="1:8">
      <c r="A1942" s="469" t="s">
        <v>107</v>
      </c>
      <c r="B1942" s="467"/>
      <c r="C1942" s="467"/>
      <c r="D1942" s="467"/>
      <c r="E1942" s="468"/>
      <c r="F1942" s="492">
        <f>PRESUPUESTO!$E$223</f>
        <v>0.05</v>
      </c>
      <c r="G1942" s="493">
        <f>+F1942*H1938</f>
        <v>325094.40000000002</v>
      </c>
      <c r="H1942" s="460"/>
    </row>
    <row r="1943" spans="1:8" ht="15.75" thickBot="1">
      <c r="A1943" s="472" t="s">
        <v>108</v>
      </c>
      <c r="B1943" s="473"/>
      <c r="C1943" s="473"/>
      <c r="D1943" s="473"/>
      <c r="E1943" s="474"/>
      <c r="F1943" s="494">
        <v>0</v>
      </c>
      <c r="G1943" s="495">
        <f>+F1943*H1938</f>
        <v>0</v>
      </c>
      <c r="H1943" s="465"/>
    </row>
    <row r="1944" spans="1:8" ht="15.75" thickBot="1">
      <c r="A1944" s="436"/>
      <c r="B1944" s="436"/>
      <c r="C1944" s="436"/>
      <c r="D1944" s="436"/>
      <c r="E1944" s="436"/>
      <c r="F1944" s="436"/>
      <c r="G1944" s="437" t="s">
        <v>86</v>
      </c>
      <c r="H1944" s="496">
        <f>SUM(G1941:G1943)</f>
        <v>1033800.192</v>
      </c>
    </row>
    <row r="1945" spans="1:8" ht="15.75" thickBot="1">
      <c r="A1945" s="436"/>
      <c r="B1945" s="436"/>
      <c r="C1945" s="436"/>
      <c r="D1945" s="436"/>
      <c r="E1945" s="436"/>
      <c r="F1945" s="436"/>
      <c r="G1945" s="436"/>
      <c r="H1945" s="436"/>
    </row>
    <row r="1946" spans="1:8" ht="15.75" thickBot="1">
      <c r="A1946" s="446"/>
      <c r="B1946" s="446"/>
      <c r="C1946" s="436"/>
      <c r="D1946" s="484" t="s">
        <v>109</v>
      </c>
      <c r="E1946" s="485"/>
      <c r="F1946" s="485"/>
      <c r="G1946" s="485"/>
      <c r="H1946" s="466">
        <f>ROUND((H1938+H1944),0)</f>
        <v>7535688</v>
      </c>
    </row>
    <row r="1947" spans="1:8">
      <c r="A1947" s="436"/>
      <c r="B1947" s="436"/>
      <c r="C1947" s="436"/>
      <c r="D1947" s="436"/>
      <c r="E1947" s="436"/>
      <c r="F1947" s="436"/>
      <c r="G1947" s="436"/>
      <c r="H1947" s="436"/>
    </row>
    <row r="1948" spans="1:8">
      <c r="A1948" s="186" t="s">
        <v>77</v>
      </c>
      <c r="B1948" s="446"/>
      <c r="C1948" s="446"/>
      <c r="D1948" s="446"/>
      <c r="E1948" s="446"/>
      <c r="F1948" s="446"/>
      <c r="G1948" s="446"/>
      <c r="H1948" s="446"/>
    </row>
    <row r="1949" spans="1:8" ht="15.75" thickBot="1">
      <c r="A1949" s="446"/>
      <c r="B1949" s="446"/>
      <c r="C1949" s="446"/>
      <c r="D1949" s="446"/>
      <c r="E1949" s="446"/>
      <c r="F1949" s="446"/>
      <c r="G1949" s="446"/>
      <c r="H1949" s="446"/>
    </row>
    <row r="1950" spans="1:8">
      <c r="A1950" s="1348" t="s">
        <v>213</v>
      </c>
      <c r="B1950" s="1349"/>
      <c r="C1950" s="1350"/>
      <c r="D1950" s="448"/>
      <c r="E1950" s="448"/>
      <c r="F1950" s="448"/>
      <c r="G1950" s="448"/>
      <c r="H1950" s="449"/>
    </row>
    <row r="1951" spans="1:8">
      <c r="A1951" s="1351"/>
      <c r="B1951" s="1352"/>
      <c r="C1951" s="1353"/>
      <c r="D1951" s="436"/>
      <c r="E1951" s="450" t="s">
        <v>78</v>
      </c>
      <c r="F1951" s="436"/>
      <c r="G1951" s="436"/>
      <c r="H1951" s="451"/>
    </row>
    <row r="1952" spans="1:8" ht="15.75" thickBot="1">
      <c r="A1952" s="1354"/>
      <c r="B1952" s="1355"/>
      <c r="C1952" s="1356"/>
      <c r="D1952" s="1360"/>
      <c r="E1952" s="1361"/>
      <c r="F1952" s="1361"/>
      <c r="G1952" s="1361"/>
      <c r="H1952" s="1362"/>
    </row>
    <row r="1953" spans="1:10">
      <c r="A1953" s="455"/>
      <c r="B1953" s="436"/>
      <c r="C1953" s="436"/>
      <c r="D1953" s="436"/>
      <c r="E1953" s="436"/>
      <c r="F1953" s="436"/>
      <c r="G1953" s="436"/>
      <c r="H1953" s="436"/>
    </row>
    <row r="1954" spans="1:10" s="446" customFormat="1" ht="12.75">
      <c r="A1954" s="455" t="s">
        <v>1146</v>
      </c>
      <c r="B1954" s="456" t="str">
        <f>+PRESUPUESTO!$B$70</f>
        <v>INSTALACIONES ELÉCTRICAS</v>
      </c>
      <c r="C1954" s="436"/>
      <c r="E1954" s="456"/>
      <c r="G1954" s="456" t="s">
        <v>1123</v>
      </c>
      <c r="H1954" s="483" t="s">
        <v>1204</v>
      </c>
      <c r="I1954" s="436"/>
      <c r="J1954" s="436"/>
    </row>
    <row r="1955" spans="1:10" s="931" customFormat="1" ht="52.15" customHeight="1">
      <c r="A1955" s="928" t="s">
        <v>1122</v>
      </c>
      <c r="B1955" s="1375" t="str">
        <f>VLOOKUP(H1954,PRESUPUESTO!$A$18:$F$251,2,FALSE)</f>
        <v>PLANOS "AS BUILT"</v>
      </c>
      <c r="C1955" s="1375"/>
      <c r="D1955" s="1375"/>
      <c r="E1955" s="1375"/>
      <c r="F1955" s="1375"/>
      <c r="G1955" s="929" t="s">
        <v>9</v>
      </c>
      <c r="H1955" s="1024" t="str">
        <f>VLOOKUP(H1954,PRESUPUESTO!$A$18:$F$251,3,FALSE)</f>
        <v>gl</v>
      </c>
    </row>
    <row r="1956" spans="1:10">
      <c r="A1956" s="456"/>
      <c r="B1956" s="456"/>
      <c r="C1956" s="436"/>
      <c r="D1956" s="456"/>
      <c r="E1956" s="456"/>
      <c r="F1956" s="456"/>
      <c r="G1956" s="456"/>
      <c r="H1956" s="436"/>
    </row>
    <row r="1957" spans="1:10" ht="15.75" thickBot="1">
      <c r="A1957" s="450" t="s">
        <v>79</v>
      </c>
      <c r="B1957" s="450"/>
      <c r="C1957" s="436"/>
      <c r="D1957" s="436"/>
      <c r="E1957" s="436"/>
      <c r="F1957" s="436"/>
      <c r="G1957" s="436"/>
      <c r="H1957" s="436"/>
    </row>
    <row r="1958" spans="1:10">
      <c r="A1958" s="1345" t="s">
        <v>80</v>
      </c>
      <c r="B1958" s="1346"/>
      <c r="C1958" s="1347"/>
      <c r="D1958" s="438" t="s">
        <v>81</v>
      </c>
      <c r="E1958" s="438" t="s">
        <v>82</v>
      </c>
      <c r="F1958" s="438" t="s">
        <v>83</v>
      </c>
      <c r="G1958" s="439" t="s">
        <v>84</v>
      </c>
      <c r="H1958" s="457"/>
    </row>
    <row r="1959" spans="1:10">
      <c r="A1959" s="1357" t="s">
        <v>471</v>
      </c>
      <c r="B1959" s="1358"/>
      <c r="C1959" s="1359"/>
      <c r="D1959" s="459" t="s">
        <v>268</v>
      </c>
      <c r="E1959" s="440">
        <v>1000</v>
      </c>
      <c r="F1959" s="440">
        <v>1</v>
      </c>
      <c r="G1959" s="432">
        <f>E1959*F1959</f>
        <v>1000</v>
      </c>
      <c r="H1959" s="460"/>
    </row>
    <row r="1960" spans="1:10">
      <c r="A1960" s="1357"/>
      <c r="B1960" s="1358"/>
      <c r="C1960" s="1359"/>
      <c r="D1960" s="461"/>
      <c r="E1960" s="462"/>
      <c r="F1960" s="497"/>
      <c r="G1960" s="432">
        <f>E1960*F1960</f>
        <v>0</v>
      </c>
      <c r="H1960" s="460"/>
    </row>
    <row r="1961" spans="1:10" ht="15.75" thickBot="1">
      <c r="A1961" s="1342"/>
      <c r="B1961" s="1343"/>
      <c r="C1961" s="1344"/>
      <c r="D1961" s="464"/>
      <c r="E1961" s="433"/>
      <c r="F1961" s="434"/>
      <c r="G1961" s="441">
        <f>E1961*F1961</f>
        <v>0</v>
      </c>
      <c r="H1961" s="465"/>
    </row>
    <row r="1962" spans="1:10" ht="15.75" thickBot="1">
      <c r="A1962" s="436"/>
      <c r="B1962" s="436"/>
      <c r="C1962" s="436"/>
      <c r="D1962" s="436"/>
      <c r="E1962" s="436"/>
      <c r="F1962" s="436"/>
      <c r="G1962" s="437" t="s">
        <v>86</v>
      </c>
      <c r="H1962" s="466">
        <f>SUM(G1959:G1961)</f>
        <v>1000</v>
      </c>
    </row>
    <row r="1963" spans="1:10" ht="15.75" thickBot="1">
      <c r="A1963" s="450" t="s">
        <v>87</v>
      </c>
      <c r="B1963" s="450"/>
      <c r="C1963" s="436"/>
      <c r="D1963" s="436"/>
      <c r="E1963" s="436"/>
      <c r="F1963" s="436"/>
      <c r="G1963" s="436"/>
      <c r="H1963" s="436"/>
    </row>
    <row r="1964" spans="1:10">
      <c r="A1964" s="1345" t="s">
        <v>80</v>
      </c>
      <c r="B1964" s="1346"/>
      <c r="C1964" s="1347"/>
      <c r="D1964" s="438" t="s">
        <v>88</v>
      </c>
      <c r="E1964" s="438" t="s">
        <v>89</v>
      </c>
      <c r="F1964" s="438" t="s">
        <v>90</v>
      </c>
      <c r="G1964" s="439" t="s">
        <v>84</v>
      </c>
      <c r="H1964" s="457"/>
    </row>
    <row r="1965" spans="1:10">
      <c r="A1965" s="469" t="s">
        <v>496</v>
      </c>
      <c r="B1965" s="467"/>
      <c r="C1965" s="471"/>
      <c r="D1965" s="459" t="s">
        <v>268</v>
      </c>
      <c r="E1965" s="430">
        <v>2500000</v>
      </c>
      <c r="F1965" s="440">
        <v>1</v>
      </c>
      <c r="G1965" s="432">
        <f>E1965*F1965</f>
        <v>2500000</v>
      </c>
      <c r="H1965" s="460"/>
    </row>
    <row r="1966" spans="1:10">
      <c r="A1966" s="469"/>
      <c r="B1966" s="467"/>
      <c r="C1966" s="471"/>
      <c r="D1966" s="459"/>
      <c r="E1966" s="430"/>
      <c r="F1966" s="440"/>
      <c r="G1966" s="432"/>
      <c r="H1966" s="460"/>
    </row>
    <row r="1967" spans="1:10">
      <c r="A1967" s="469"/>
      <c r="B1967" s="467"/>
      <c r="C1967" s="471"/>
      <c r="D1967" s="459"/>
      <c r="E1967" s="430"/>
      <c r="F1967" s="431"/>
      <c r="G1967" s="432"/>
      <c r="H1967" s="460"/>
    </row>
    <row r="1968" spans="1:10">
      <c r="A1968" s="469"/>
      <c r="B1968" s="467"/>
      <c r="C1968" s="468"/>
      <c r="D1968" s="459"/>
      <c r="E1968" s="430"/>
      <c r="F1968" s="431"/>
      <c r="G1968" s="432"/>
      <c r="H1968" s="460"/>
    </row>
    <row r="1969" spans="1:8">
      <c r="A1969" s="469"/>
      <c r="B1969" s="467"/>
      <c r="C1969" s="468"/>
      <c r="D1969" s="459"/>
      <c r="E1969" s="430"/>
      <c r="F1969" s="431"/>
      <c r="G1969" s="432"/>
      <c r="H1969" s="460"/>
    </row>
    <row r="1970" spans="1:8" ht="15.75" thickBot="1">
      <c r="A1970" s="472"/>
      <c r="B1970" s="473"/>
      <c r="C1970" s="474"/>
      <c r="D1970" s="464"/>
      <c r="E1970" s="433"/>
      <c r="F1970" s="434"/>
      <c r="G1970" s="435"/>
      <c r="H1970" s="465"/>
    </row>
    <row r="1971" spans="1:8" ht="15.75" thickBot="1">
      <c r="A1971" s="436"/>
      <c r="B1971" s="436"/>
      <c r="C1971" s="436"/>
      <c r="D1971" s="436"/>
      <c r="E1971" s="436"/>
      <c r="F1971" s="436"/>
      <c r="G1971" s="437" t="s">
        <v>86</v>
      </c>
      <c r="H1971" s="466">
        <f>SUM(G1965:G1970)</f>
        <v>2500000</v>
      </c>
    </row>
    <row r="1972" spans="1:8" ht="15.75" thickBot="1">
      <c r="A1972" s="450" t="s">
        <v>94</v>
      </c>
      <c r="B1972" s="450"/>
      <c r="C1972" s="436"/>
      <c r="D1972" s="436"/>
      <c r="E1972" s="436"/>
      <c r="F1972" s="436"/>
      <c r="G1972" s="436"/>
      <c r="H1972" s="436"/>
    </row>
    <row r="1973" spans="1:8">
      <c r="A1973" s="1345" t="s">
        <v>95</v>
      </c>
      <c r="B1973" s="1346"/>
      <c r="C1973" s="1347"/>
      <c r="D1973" s="438" t="s">
        <v>88</v>
      </c>
      <c r="E1973" s="438" t="s">
        <v>89</v>
      </c>
      <c r="F1973" s="438" t="s">
        <v>90</v>
      </c>
      <c r="G1973" s="439" t="s">
        <v>84</v>
      </c>
      <c r="H1973" s="457"/>
    </row>
    <row r="1974" spans="1:8">
      <c r="A1974" s="458" t="s">
        <v>235</v>
      </c>
      <c r="B1974" s="467"/>
      <c r="C1974" s="468"/>
      <c r="D1974" s="459" t="s">
        <v>268</v>
      </c>
      <c r="E1974" s="430">
        <v>500000</v>
      </c>
      <c r="F1974" s="440">
        <v>1</v>
      </c>
      <c r="G1974" s="432">
        <f>E1974*F1974</f>
        <v>500000</v>
      </c>
      <c r="H1974" s="460"/>
    </row>
    <row r="1975" spans="1:8" ht="15.75" thickBot="1">
      <c r="A1975" s="1342"/>
      <c r="B1975" s="1343"/>
      <c r="C1975" s="1344"/>
      <c r="D1975" s="475"/>
      <c r="E1975" s="433"/>
      <c r="F1975" s="434"/>
      <c r="G1975" s="441"/>
      <c r="H1975" s="460"/>
    </row>
    <row r="1976" spans="1:8" ht="15.75" thickBot="1">
      <c r="A1976" s="436"/>
      <c r="B1976" s="436"/>
      <c r="C1976" s="436"/>
      <c r="D1976" s="436"/>
      <c r="E1976" s="436"/>
      <c r="F1976" s="436"/>
      <c r="G1976" s="437" t="s">
        <v>86</v>
      </c>
      <c r="H1976" s="466">
        <f>SUM(G1974:G1975)</f>
        <v>500000</v>
      </c>
    </row>
    <row r="1977" spans="1:8" ht="15.75" thickBot="1">
      <c r="A1977" s="450" t="s">
        <v>96</v>
      </c>
      <c r="B1977" s="450"/>
      <c r="C1977" s="436"/>
      <c r="D1977" s="436"/>
      <c r="E1977" s="436"/>
      <c r="F1977" s="436"/>
      <c r="G1977" s="436"/>
      <c r="H1977" s="436"/>
    </row>
    <row r="1978" spans="1:8">
      <c r="A1978" s="476" t="s">
        <v>97</v>
      </c>
      <c r="B1978" s="438"/>
      <c r="C1978" s="438" t="s">
        <v>98</v>
      </c>
      <c r="D1978" s="438" t="s">
        <v>99</v>
      </c>
      <c r="E1978" s="442" t="s">
        <v>100</v>
      </c>
      <c r="F1978" s="443" t="s">
        <v>83</v>
      </c>
      <c r="G1978" s="444" t="s">
        <v>84</v>
      </c>
      <c r="H1978" s="477"/>
    </row>
    <row r="1979" spans="1:8">
      <c r="A1979" s="478" t="s">
        <v>101</v>
      </c>
      <c r="B1979" s="467"/>
      <c r="C1979" s="479">
        <f>PERSONAL!$E$32</f>
        <v>87200</v>
      </c>
      <c r="D1979" s="480">
        <f>PERSONAL!$F$31</f>
        <v>1.7431000000000001</v>
      </c>
      <c r="E1979" s="440">
        <f>+D1979*C1979</f>
        <v>151998.32</v>
      </c>
      <c r="F1979" s="440">
        <v>171.17596487908045</v>
      </c>
      <c r="G1979" s="445">
        <f>ROUND(E1979/F1979,0)</f>
        <v>888</v>
      </c>
      <c r="H1979" s="451"/>
    </row>
    <row r="1980" spans="1:8">
      <c r="A1980" s="478"/>
      <c r="B1980" s="467"/>
      <c r="C1980" s="479"/>
      <c r="D1980" s="480"/>
      <c r="E1980" s="440"/>
      <c r="F1980" s="440"/>
      <c r="G1980" s="445"/>
      <c r="H1980" s="451"/>
    </row>
    <row r="1981" spans="1:8">
      <c r="A1981" s="478"/>
      <c r="B1981" s="468"/>
      <c r="C1981" s="430"/>
      <c r="D1981" s="459"/>
      <c r="E1981" s="430"/>
      <c r="F1981" s="440"/>
      <c r="G1981" s="445"/>
      <c r="H1981" s="451"/>
    </row>
    <row r="1982" spans="1:8">
      <c r="A1982" s="478"/>
      <c r="B1982" s="468"/>
      <c r="C1982" s="430"/>
      <c r="D1982" s="459"/>
      <c r="E1982" s="430"/>
      <c r="F1982" s="440"/>
      <c r="G1982" s="445"/>
      <c r="H1982" s="451"/>
    </row>
    <row r="1983" spans="1:8" ht="15.75" thickBot="1">
      <c r="A1983" s="481"/>
      <c r="B1983" s="474"/>
      <c r="C1983" s="474"/>
      <c r="D1983" s="474"/>
      <c r="E1983" s="474"/>
      <c r="F1983" s="474"/>
      <c r="G1983" s="482"/>
      <c r="H1983" s="482"/>
    </row>
    <row r="1984" spans="1:8" ht="15.75" thickBot="1">
      <c r="A1984" s="436"/>
      <c r="B1984" s="436"/>
      <c r="C1984" s="436"/>
      <c r="D1984" s="436"/>
      <c r="E1984" s="436"/>
      <c r="F1984" s="436"/>
      <c r="G1984" s="437" t="s">
        <v>86</v>
      </c>
      <c r="H1984" s="466">
        <f>SUM(G1979:G1983)</f>
        <v>888</v>
      </c>
    </row>
    <row r="1985" spans="1:8" ht="15.75" thickBot="1">
      <c r="A1985" s="436"/>
      <c r="B1985" s="436"/>
      <c r="C1985" s="436"/>
      <c r="D1985" s="436"/>
      <c r="E1985" s="436"/>
      <c r="F1985" s="436"/>
      <c r="G1985" s="483"/>
      <c r="H1985" s="436"/>
    </row>
    <row r="1986" spans="1:8" ht="15.75" thickBot="1">
      <c r="A1986" s="436"/>
      <c r="B1986" s="436"/>
      <c r="C1986" s="436"/>
      <c r="D1986" s="436"/>
      <c r="E1986" s="484" t="s">
        <v>102</v>
      </c>
      <c r="F1986" s="485"/>
      <c r="G1986" s="485"/>
      <c r="H1986" s="466">
        <f>H1962+H1971+H1976+H1984</f>
        <v>3001888</v>
      </c>
    </row>
    <row r="1987" spans="1:8" ht="15.75" thickBot="1">
      <c r="A1987" s="450" t="s">
        <v>103</v>
      </c>
      <c r="B1987" s="450"/>
      <c r="C1987" s="436"/>
      <c r="D1987" s="436"/>
      <c r="E1987" s="436"/>
      <c r="F1987" s="436"/>
      <c r="G1987" s="436"/>
      <c r="H1987" s="436"/>
    </row>
    <row r="1988" spans="1:8">
      <c r="A1988" s="487" t="s">
        <v>80</v>
      </c>
      <c r="B1988" s="488"/>
      <c r="C1988" s="488"/>
      <c r="D1988" s="488"/>
      <c r="E1988" s="489"/>
      <c r="F1988" s="490" t="s">
        <v>104</v>
      </c>
      <c r="G1988" s="491" t="s">
        <v>105</v>
      </c>
      <c r="H1988" s="457"/>
    </row>
    <row r="1989" spans="1:8">
      <c r="A1989" s="469" t="s">
        <v>106</v>
      </c>
      <c r="B1989" s="467"/>
      <c r="C1989" s="467"/>
      <c r="D1989" s="467"/>
      <c r="E1989" s="468"/>
      <c r="F1989" s="492">
        <f>PRESUPUESTO!$E$222</f>
        <v>0.109</v>
      </c>
      <c r="G1989" s="493">
        <f>+F1989*H1986</f>
        <v>327205.79200000002</v>
      </c>
      <c r="H1989" s="460"/>
    </row>
    <row r="1990" spans="1:8">
      <c r="A1990" s="469" t="s">
        <v>107</v>
      </c>
      <c r="B1990" s="467"/>
      <c r="C1990" s="467"/>
      <c r="D1990" s="467"/>
      <c r="E1990" s="468"/>
      <c r="F1990" s="492">
        <f>PRESUPUESTO!$E$223</f>
        <v>0.05</v>
      </c>
      <c r="G1990" s="493">
        <f>+F1990*H1986</f>
        <v>150094.39999999999</v>
      </c>
      <c r="H1990" s="460"/>
    </row>
    <row r="1991" spans="1:8" ht="15.75" thickBot="1">
      <c r="A1991" s="472" t="s">
        <v>108</v>
      </c>
      <c r="B1991" s="473"/>
      <c r="C1991" s="473"/>
      <c r="D1991" s="473"/>
      <c r="E1991" s="474"/>
      <c r="F1991" s="494">
        <v>0</v>
      </c>
      <c r="G1991" s="495">
        <f>+F1991*H1986</f>
        <v>0</v>
      </c>
      <c r="H1991" s="465"/>
    </row>
    <row r="1992" spans="1:8" ht="15.75" thickBot="1">
      <c r="A1992" s="436"/>
      <c r="B1992" s="436"/>
      <c r="C1992" s="436"/>
      <c r="D1992" s="436"/>
      <c r="E1992" s="436"/>
      <c r="F1992" s="436"/>
      <c r="G1992" s="437" t="s">
        <v>86</v>
      </c>
      <c r="H1992" s="496">
        <f>SUM(G1989:G1991)</f>
        <v>477300.19200000004</v>
      </c>
    </row>
    <row r="1993" spans="1:8" ht="15.75" thickBot="1">
      <c r="A1993" s="436"/>
      <c r="B1993" s="436"/>
      <c r="C1993" s="436"/>
      <c r="D1993" s="436"/>
      <c r="E1993" s="436"/>
      <c r="F1993" s="436"/>
      <c r="G1993" s="436"/>
      <c r="H1993" s="436"/>
    </row>
    <row r="1994" spans="1:8" ht="15.75" thickBot="1">
      <c r="A1994" s="446"/>
      <c r="B1994" s="446"/>
      <c r="C1994" s="436"/>
      <c r="D1994" s="484" t="s">
        <v>109</v>
      </c>
      <c r="E1994" s="485"/>
      <c r="F1994" s="485"/>
      <c r="G1994" s="485"/>
      <c r="H1994" s="466">
        <f>ROUND((H1986+H1992),0)</f>
        <v>3479188</v>
      </c>
    </row>
    <row r="1995" spans="1:8">
      <c r="A1995" s="436"/>
      <c r="B1995" s="436"/>
      <c r="C1995" s="436"/>
      <c r="D1995" s="436"/>
      <c r="E1995" s="436"/>
      <c r="F1995" s="436"/>
      <c r="G1995" s="436"/>
      <c r="H1995" s="436"/>
    </row>
  </sheetData>
  <mergeCells count="476">
    <mergeCell ref="J757:N757"/>
    <mergeCell ref="J111:N111"/>
    <mergeCell ref="K174:O174"/>
    <mergeCell ref="K219:O219"/>
    <mergeCell ref="M359:Q359"/>
    <mergeCell ref="M371:Q371"/>
    <mergeCell ref="K409:O409"/>
    <mergeCell ref="K1283:O1283"/>
    <mergeCell ref="K1477:O1477"/>
    <mergeCell ref="A556:C557"/>
    <mergeCell ref="D556:D557"/>
    <mergeCell ref="E556:E557"/>
    <mergeCell ref="F556:F557"/>
    <mergeCell ref="G556:G557"/>
    <mergeCell ref="A505:C506"/>
    <mergeCell ref="D505:D506"/>
    <mergeCell ref="E505:E506"/>
    <mergeCell ref="F505:F506"/>
    <mergeCell ref="G505:G506"/>
    <mergeCell ref="A546:C546"/>
    <mergeCell ref="A551:C552"/>
    <mergeCell ref="D551:D552"/>
    <mergeCell ref="E551:E552"/>
    <mergeCell ref="F551:F552"/>
    <mergeCell ref="A544:C544"/>
    <mergeCell ref="A545:C545"/>
    <mergeCell ref="A547:C547"/>
    <mergeCell ref="A550:C550"/>
    <mergeCell ref="A510:C510"/>
    <mergeCell ref="A512:C512"/>
    <mergeCell ref="A535:C537"/>
    <mergeCell ref="D537:H537"/>
    <mergeCell ref="G551:G552"/>
    <mergeCell ref="A17:C17"/>
    <mergeCell ref="A26:C26"/>
    <mergeCell ref="A28:C28"/>
    <mergeCell ref="A51:C53"/>
    <mergeCell ref="D53:H53"/>
    <mergeCell ref="A59:C59"/>
    <mergeCell ref="A3:C5"/>
    <mergeCell ref="D5:H5"/>
    <mergeCell ref="A11:C11"/>
    <mergeCell ref="A12:C12"/>
    <mergeCell ref="A13:C13"/>
    <mergeCell ref="A14:C14"/>
    <mergeCell ref="B8:F8"/>
    <mergeCell ref="B56:F56"/>
    <mergeCell ref="A99:C101"/>
    <mergeCell ref="D101:H101"/>
    <mergeCell ref="A107:C107"/>
    <mergeCell ref="A108:C108"/>
    <mergeCell ref="A109:C109"/>
    <mergeCell ref="A110:C110"/>
    <mergeCell ref="A60:C60"/>
    <mergeCell ref="A61:C61"/>
    <mergeCell ref="A62:C62"/>
    <mergeCell ref="A65:C65"/>
    <mergeCell ref="A74:C74"/>
    <mergeCell ref="A76:C76"/>
    <mergeCell ref="B104:F104"/>
    <mergeCell ref="A113:C113"/>
    <mergeCell ref="A122:C122"/>
    <mergeCell ref="A125:C125"/>
    <mergeCell ref="A148:C150"/>
    <mergeCell ref="D150:H150"/>
    <mergeCell ref="A156:C156"/>
    <mergeCell ref="A116:C116"/>
    <mergeCell ref="A114:C114"/>
    <mergeCell ref="A115:C115"/>
    <mergeCell ref="B153:F153"/>
    <mergeCell ref="A196:C198"/>
    <mergeCell ref="D198:H198"/>
    <mergeCell ref="A204:C204"/>
    <mergeCell ref="A205:C205"/>
    <mergeCell ref="A206:C206"/>
    <mergeCell ref="A207:C207"/>
    <mergeCell ref="A157:C157"/>
    <mergeCell ref="A158:C158"/>
    <mergeCell ref="A159:C159"/>
    <mergeCell ref="A162:C162"/>
    <mergeCell ref="A171:C171"/>
    <mergeCell ref="A173:C173"/>
    <mergeCell ref="B201:F201"/>
    <mergeCell ref="A253:C253"/>
    <mergeCell ref="A254:C254"/>
    <mergeCell ref="A255:C255"/>
    <mergeCell ref="A258:C258"/>
    <mergeCell ref="A267:C267"/>
    <mergeCell ref="A269:C269"/>
    <mergeCell ref="A210:C210"/>
    <mergeCell ref="A219:C219"/>
    <mergeCell ref="A221:C221"/>
    <mergeCell ref="A244:C246"/>
    <mergeCell ref="B249:F249"/>
    <mergeCell ref="D246:H246"/>
    <mergeCell ref="A252:C252"/>
    <mergeCell ref="A306:C306"/>
    <mergeCell ref="A315:C315"/>
    <mergeCell ref="A317:C317"/>
    <mergeCell ref="A340:C342"/>
    <mergeCell ref="D342:H342"/>
    <mergeCell ref="A348:C348"/>
    <mergeCell ref="A292:C294"/>
    <mergeCell ref="D294:H294"/>
    <mergeCell ref="A300:C300"/>
    <mergeCell ref="A301:C301"/>
    <mergeCell ref="A302:C302"/>
    <mergeCell ref="A303:C303"/>
    <mergeCell ref="B297:F297"/>
    <mergeCell ref="B345:F345"/>
    <mergeCell ref="A388:C390"/>
    <mergeCell ref="D390:H390"/>
    <mergeCell ref="A396:C396"/>
    <mergeCell ref="A397:C397"/>
    <mergeCell ref="A398:C398"/>
    <mergeCell ref="A399:C399"/>
    <mergeCell ref="A349:C349"/>
    <mergeCell ref="A350:C350"/>
    <mergeCell ref="A351:C351"/>
    <mergeCell ref="A354:C354"/>
    <mergeCell ref="A363:C363"/>
    <mergeCell ref="B393:F393"/>
    <mergeCell ref="A445:C445"/>
    <mergeCell ref="A446:C446"/>
    <mergeCell ref="A447:C447"/>
    <mergeCell ref="A450:C450"/>
    <mergeCell ref="A459:C459"/>
    <mergeCell ref="A461:C461"/>
    <mergeCell ref="A402:C402"/>
    <mergeCell ref="A411:C411"/>
    <mergeCell ref="A413:C413"/>
    <mergeCell ref="A436:C438"/>
    <mergeCell ref="B441:F441"/>
    <mergeCell ref="D438:H438"/>
    <mergeCell ref="A444:C444"/>
    <mergeCell ref="G500:G501"/>
    <mergeCell ref="F502:F504"/>
    <mergeCell ref="F500:F501"/>
    <mergeCell ref="A484:C486"/>
    <mergeCell ref="D486:H486"/>
    <mergeCell ref="A492:C492"/>
    <mergeCell ref="A493:C493"/>
    <mergeCell ref="A494:C494"/>
    <mergeCell ref="A496:C496"/>
    <mergeCell ref="E502:E504"/>
    <mergeCell ref="E500:E501"/>
    <mergeCell ref="A495:C495"/>
    <mergeCell ref="A500:C501"/>
    <mergeCell ref="A502:C504"/>
    <mergeCell ref="D502:D504"/>
    <mergeCell ref="D500:D501"/>
    <mergeCell ref="A499:C499"/>
    <mergeCell ref="B489:F489"/>
    <mergeCell ref="A604:C605"/>
    <mergeCell ref="A647:C647"/>
    <mergeCell ref="D638:H638"/>
    <mergeCell ref="A644:C644"/>
    <mergeCell ref="A602:C603"/>
    <mergeCell ref="D602:D603"/>
    <mergeCell ref="E602:E603"/>
    <mergeCell ref="F602:F603"/>
    <mergeCell ref="A586:C588"/>
    <mergeCell ref="D588:H588"/>
    <mergeCell ref="A594:C594"/>
    <mergeCell ref="A595:C595"/>
    <mergeCell ref="A596:C596"/>
    <mergeCell ref="A598:C598"/>
    <mergeCell ref="G602:G603"/>
    <mergeCell ref="D604:D605"/>
    <mergeCell ref="E604:E605"/>
    <mergeCell ref="F604:F605"/>
    <mergeCell ref="G604:G605"/>
    <mergeCell ref="A597:C597"/>
    <mergeCell ref="A601:C601"/>
    <mergeCell ref="A645:C645"/>
    <mergeCell ref="A646:C646"/>
    <mergeCell ref="A648:C648"/>
    <mergeCell ref="A651:C651"/>
    <mergeCell ref="A652:C653"/>
    <mergeCell ref="A659:C659"/>
    <mergeCell ref="A661:C661"/>
    <mergeCell ref="A611:C611"/>
    <mergeCell ref="A613:C613"/>
    <mergeCell ref="A636:C638"/>
    <mergeCell ref="A757:C757"/>
    <mergeCell ref="A698:C698"/>
    <mergeCell ref="A707:C707"/>
    <mergeCell ref="A732:C734"/>
    <mergeCell ref="D734:H734"/>
    <mergeCell ref="A740:C740"/>
    <mergeCell ref="A684:C686"/>
    <mergeCell ref="D686:H686"/>
    <mergeCell ref="A692:C692"/>
    <mergeCell ref="A693:C693"/>
    <mergeCell ref="A694:C694"/>
    <mergeCell ref="A695:C695"/>
    <mergeCell ref="A986:C986"/>
    <mergeCell ref="D974:H974"/>
    <mergeCell ref="A980:C980"/>
    <mergeCell ref="A981:C981"/>
    <mergeCell ref="A982:C982"/>
    <mergeCell ref="A983:C983"/>
    <mergeCell ref="A887:C887"/>
    <mergeCell ref="A837:C837"/>
    <mergeCell ref="A838:C838"/>
    <mergeCell ref="A839:C839"/>
    <mergeCell ref="A842:C842"/>
    <mergeCell ref="A851:C851"/>
    <mergeCell ref="A853:C853"/>
    <mergeCell ref="A794:C794"/>
    <mergeCell ref="A803:C803"/>
    <mergeCell ref="B977:F977"/>
    <mergeCell ref="A995:C995"/>
    <mergeCell ref="A997:C997"/>
    <mergeCell ref="A1020:C1022"/>
    <mergeCell ref="A543:C543"/>
    <mergeCell ref="G502:G504"/>
    <mergeCell ref="A553:C555"/>
    <mergeCell ref="D553:D555"/>
    <mergeCell ref="E553:E555"/>
    <mergeCell ref="F553:F555"/>
    <mergeCell ref="G553:G555"/>
    <mergeCell ref="A561:C561"/>
    <mergeCell ref="A563:C563"/>
    <mergeCell ref="A890:C890"/>
    <mergeCell ref="A899:C899"/>
    <mergeCell ref="A901:C901"/>
    <mergeCell ref="A924:C926"/>
    <mergeCell ref="D926:H926"/>
    <mergeCell ref="A932:C932"/>
    <mergeCell ref="A876:C878"/>
    <mergeCell ref="D878:H878"/>
    <mergeCell ref="A884:C884"/>
    <mergeCell ref="A885:C885"/>
    <mergeCell ref="A886:C886"/>
    <mergeCell ref="A972:C974"/>
    <mergeCell ref="D652:D653"/>
    <mergeCell ref="E652:E653"/>
    <mergeCell ref="F652:F653"/>
    <mergeCell ref="G652:G653"/>
    <mergeCell ref="A654:C655"/>
    <mergeCell ref="D654:D655"/>
    <mergeCell ref="E654:E655"/>
    <mergeCell ref="F654:F655"/>
    <mergeCell ref="G654:G655"/>
    <mergeCell ref="D1118:H1118"/>
    <mergeCell ref="A933:C933"/>
    <mergeCell ref="A934:C934"/>
    <mergeCell ref="A935:C935"/>
    <mergeCell ref="A938:C938"/>
    <mergeCell ref="A947:C947"/>
    <mergeCell ref="A949:C949"/>
    <mergeCell ref="A939:C940"/>
    <mergeCell ref="A1029:C1029"/>
    <mergeCell ref="A1030:C1030"/>
    <mergeCell ref="A1082:C1082"/>
    <mergeCell ref="G1085:G1086"/>
    <mergeCell ref="A1068:C1070"/>
    <mergeCell ref="D1070:H1070"/>
    <mergeCell ref="A1076:C1076"/>
    <mergeCell ref="A1077:C1077"/>
    <mergeCell ref="A1078:C1078"/>
    <mergeCell ref="A1079:C1079"/>
    <mergeCell ref="A1031:C1031"/>
    <mergeCell ref="A1034:C1034"/>
    <mergeCell ref="A1043:C1043"/>
    <mergeCell ref="A1045:C1045"/>
    <mergeCell ref="D1022:H1022"/>
    <mergeCell ref="A1028:C1028"/>
    <mergeCell ref="A1126:C1126"/>
    <mergeCell ref="A1127:C1127"/>
    <mergeCell ref="A1130:C1130"/>
    <mergeCell ref="A1139:C1139"/>
    <mergeCell ref="A1141:C1141"/>
    <mergeCell ref="A1164:C1166"/>
    <mergeCell ref="A1091:C1091"/>
    <mergeCell ref="A1093:C1093"/>
    <mergeCell ref="A1116:C1118"/>
    <mergeCell ref="A1124:C1124"/>
    <mergeCell ref="A1125:C1125"/>
    <mergeCell ref="A1211:C1213"/>
    <mergeCell ref="D1213:H1213"/>
    <mergeCell ref="A1219:C1219"/>
    <mergeCell ref="A1220:C1220"/>
    <mergeCell ref="D1166:H1166"/>
    <mergeCell ref="A1172:C1172"/>
    <mergeCell ref="A1173:C1173"/>
    <mergeCell ref="A1174:C1174"/>
    <mergeCell ref="A1175:C1175"/>
    <mergeCell ref="A1178:C1178"/>
    <mergeCell ref="A1363:C1363"/>
    <mergeCell ref="A1317:C1317"/>
    <mergeCell ref="A1318:C1318"/>
    <mergeCell ref="A1321:C1321"/>
    <mergeCell ref="A1282:C1282"/>
    <mergeCell ref="A1307:C1309"/>
    <mergeCell ref="D1309:H1309"/>
    <mergeCell ref="A1315:C1315"/>
    <mergeCell ref="A1316:C1316"/>
    <mergeCell ref="A1414:C1414"/>
    <mergeCell ref="B1408:F1408"/>
    <mergeCell ref="B1456:F1456"/>
    <mergeCell ref="A1364:C1364"/>
    <mergeCell ref="A1365:C1365"/>
    <mergeCell ref="A1366:C1366"/>
    <mergeCell ref="A1369:C1369"/>
    <mergeCell ref="A1378:C1378"/>
    <mergeCell ref="A1370:C1374"/>
    <mergeCell ref="D1370:D1374"/>
    <mergeCell ref="E1370:E1374"/>
    <mergeCell ref="A1417:C1417"/>
    <mergeCell ref="A1506:C1506"/>
    <mergeCell ref="A1507:C1507"/>
    <mergeCell ref="A1510:C1510"/>
    <mergeCell ref="F1370:F1374"/>
    <mergeCell ref="G1370:G1374"/>
    <mergeCell ref="A1496:C1498"/>
    <mergeCell ref="D1498:H1498"/>
    <mergeCell ref="A1504:C1504"/>
    <mergeCell ref="A1505:C1505"/>
    <mergeCell ref="A1460:C1460"/>
    <mergeCell ref="A1461:C1461"/>
    <mergeCell ref="A1462:C1462"/>
    <mergeCell ref="A1465:C1465"/>
    <mergeCell ref="A1472:C1472"/>
    <mergeCell ref="A1426:C1426"/>
    <mergeCell ref="A1428:C1428"/>
    <mergeCell ref="A1451:C1453"/>
    <mergeCell ref="D1453:H1453"/>
    <mergeCell ref="A1459:C1459"/>
    <mergeCell ref="A1403:C1405"/>
    <mergeCell ref="D1405:H1405"/>
    <mergeCell ref="A1411:C1411"/>
    <mergeCell ref="A1412:C1412"/>
    <mergeCell ref="A1413:C1413"/>
    <mergeCell ref="A1554:C1554"/>
    <mergeCell ref="A1555:C1555"/>
    <mergeCell ref="A1558:C1558"/>
    <mergeCell ref="A1519:C1519"/>
    <mergeCell ref="A1521:C1521"/>
    <mergeCell ref="A1544:C1546"/>
    <mergeCell ref="D1546:H1546"/>
    <mergeCell ref="A1552:C1552"/>
    <mergeCell ref="A1553:C1553"/>
    <mergeCell ref="A1654:C1654"/>
    <mergeCell ref="D1701:H1701"/>
    <mergeCell ref="A1601:C1601"/>
    <mergeCell ref="A1602:C1602"/>
    <mergeCell ref="A1605:C1605"/>
    <mergeCell ref="A1655:C1655"/>
    <mergeCell ref="A1566:C1566"/>
    <mergeCell ref="A1568:C1568"/>
    <mergeCell ref="A1591:C1593"/>
    <mergeCell ref="D1593:H1593"/>
    <mergeCell ref="A1599:C1599"/>
    <mergeCell ref="A1600:C1600"/>
    <mergeCell ref="A1913:C1913"/>
    <mergeCell ref="D1856:H1856"/>
    <mergeCell ref="A1862:C1862"/>
    <mergeCell ref="D1755:H1755"/>
    <mergeCell ref="A1761:C1761"/>
    <mergeCell ref="A1762:C1762"/>
    <mergeCell ref="A1782:C1782"/>
    <mergeCell ref="A1656:C1656"/>
    <mergeCell ref="A1659:C1659"/>
    <mergeCell ref="A1674:C1674"/>
    <mergeCell ref="A1676:C1676"/>
    <mergeCell ref="A1699:C1701"/>
    <mergeCell ref="A1707:C1707"/>
    <mergeCell ref="A1708:C1708"/>
    <mergeCell ref="A1709:C1709"/>
    <mergeCell ref="A1710:C1710"/>
    <mergeCell ref="A1713:C1713"/>
    <mergeCell ref="A1767:C1767"/>
    <mergeCell ref="A1728:C1728"/>
    <mergeCell ref="A1730:C1730"/>
    <mergeCell ref="A1753:C1755"/>
    <mergeCell ref="A1815:C1815"/>
    <mergeCell ref="A1807:C1809"/>
    <mergeCell ref="D1809:H1809"/>
    <mergeCell ref="A1973:C1973"/>
    <mergeCell ref="A1975:C1975"/>
    <mergeCell ref="A1916:C1916"/>
    <mergeCell ref="A1925:C1925"/>
    <mergeCell ref="A1927:C1927"/>
    <mergeCell ref="A1950:C1952"/>
    <mergeCell ref="A1863:C1863"/>
    <mergeCell ref="A1864:C1864"/>
    <mergeCell ref="A1865:C1865"/>
    <mergeCell ref="A1868:C1868"/>
    <mergeCell ref="A1964:C1964"/>
    <mergeCell ref="A1879:C1879"/>
    <mergeCell ref="A1877:C1877"/>
    <mergeCell ref="A1959:C1959"/>
    <mergeCell ref="A1960:C1960"/>
    <mergeCell ref="A1961:C1961"/>
    <mergeCell ref="B1955:F1955"/>
    <mergeCell ref="D1952:H1952"/>
    <mergeCell ref="A1958:C1958"/>
    <mergeCell ref="A1902:C1904"/>
    <mergeCell ref="D1904:H1904"/>
    <mergeCell ref="A1910:C1910"/>
    <mergeCell ref="A1911:C1911"/>
    <mergeCell ref="A1912:C1912"/>
    <mergeCell ref="B540:F540"/>
    <mergeCell ref="B591:F591"/>
    <mergeCell ref="B641:F641"/>
    <mergeCell ref="B689:F689"/>
    <mergeCell ref="B737:F737"/>
    <mergeCell ref="B785:F785"/>
    <mergeCell ref="B833:F833"/>
    <mergeCell ref="B881:F881"/>
    <mergeCell ref="B929:F929"/>
    <mergeCell ref="A805:C805"/>
    <mergeCell ref="A828:C830"/>
    <mergeCell ref="D830:H830"/>
    <mergeCell ref="A836:C836"/>
    <mergeCell ref="A780:C782"/>
    <mergeCell ref="D782:H782"/>
    <mergeCell ref="A788:C788"/>
    <mergeCell ref="A789:C789"/>
    <mergeCell ref="A790:C790"/>
    <mergeCell ref="A791:C791"/>
    <mergeCell ref="A741:C741"/>
    <mergeCell ref="A742:C742"/>
    <mergeCell ref="A743:C743"/>
    <mergeCell ref="A746:C746"/>
    <mergeCell ref="A755:C755"/>
    <mergeCell ref="B1025:F1025"/>
    <mergeCell ref="B1073:F1073"/>
    <mergeCell ref="B1121:F1121"/>
    <mergeCell ref="B1169:F1169"/>
    <mergeCell ref="B1216:F1216"/>
    <mergeCell ref="B1264:F1264"/>
    <mergeCell ref="B1312:F1312"/>
    <mergeCell ref="B1360:F1360"/>
    <mergeCell ref="A1330:C1330"/>
    <mergeCell ref="A1332:C1332"/>
    <mergeCell ref="A1355:C1357"/>
    <mergeCell ref="D1357:H1357"/>
    <mergeCell ref="D1261:H1261"/>
    <mergeCell ref="A1267:C1267"/>
    <mergeCell ref="A1268:C1268"/>
    <mergeCell ref="A1269:C1269"/>
    <mergeCell ref="A1270:C1270"/>
    <mergeCell ref="A1273:C1273"/>
    <mergeCell ref="A1221:C1221"/>
    <mergeCell ref="A1222:C1222"/>
    <mergeCell ref="A1225:C1225"/>
    <mergeCell ref="A1259:C1261"/>
    <mergeCell ref="A1233:C1233"/>
    <mergeCell ref="A1186:C1186"/>
    <mergeCell ref="B1501:F1501"/>
    <mergeCell ref="B1549:F1549"/>
    <mergeCell ref="B1596:F1596"/>
    <mergeCell ref="B1650:F1650"/>
    <mergeCell ref="B1704:F1704"/>
    <mergeCell ref="B1758:F1758"/>
    <mergeCell ref="B1812:F1812"/>
    <mergeCell ref="B1859:F1859"/>
    <mergeCell ref="B1907:F1907"/>
    <mergeCell ref="A1763:C1763"/>
    <mergeCell ref="A1764:C1764"/>
    <mergeCell ref="A1854:C1856"/>
    <mergeCell ref="A1816:C1816"/>
    <mergeCell ref="A1817:C1817"/>
    <mergeCell ref="A1818:C1818"/>
    <mergeCell ref="A1821:C1821"/>
    <mergeCell ref="A1829:C1829"/>
    <mergeCell ref="A1831:C1831"/>
    <mergeCell ref="A1784:C1784"/>
    <mergeCell ref="A1620:C1620"/>
    <mergeCell ref="A1622:C1622"/>
    <mergeCell ref="A1645:C1647"/>
    <mergeCell ref="D1647:H1647"/>
    <mergeCell ref="A1653:C1653"/>
  </mergeCells>
  <hyperlinks>
    <hyperlink ref="A1" r:id="rId1" location="PRESUPUESTO!A1" xr:uid="{075B7EB0-E3B1-47EC-9D98-87F3165771E7}"/>
    <hyperlink ref="A49" r:id="rId2" location="PRESUPUESTO!A1" xr:uid="{FF1BFF16-F16B-4640-91C9-B2B773EB6572}"/>
    <hyperlink ref="A97" r:id="rId3" location="PRESUPUESTO!A1" xr:uid="{EF26CC84-0108-449C-A2CC-938759571CD5}"/>
    <hyperlink ref="A146" r:id="rId4" location="PRESUPUESTO!A1" xr:uid="{7FCDADF6-7FEC-4FBB-8E5D-CD209A6F8093}"/>
    <hyperlink ref="A194" r:id="rId5" location="PRESUPUESTO!A1" xr:uid="{E2994F2F-58BB-4FB7-B2EB-C55ED4669AA3}"/>
    <hyperlink ref="A242" r:id="rId6" location="PRESUPUESTO!A1" xr:uid="{774A487E-B1A5-4A1A-9D94-46D6859C5ED7}"/>
    <hyperlink ref="A290" r:id="rId7" location="PRESUPUESTO!A1" xr:uid="{E7B06870-2711-4C6D-90DB-D1800F7F6FD8}"/>
    <hyperlink ref="A338" r:id="rId8" location="PRESUPUESTO!A1" xr:uid="{DD94EE6D-594D-437D-A979-38FF1BD44B2C}"/>
    <hyperlink ref="A386" r:id="rId9" location="PRESUPUESTO!A1" xr:uid="{945D0557-F842-4B52-AD67-40E4641C0585}"/>
    <hyperlink ref="A434" r:id="rId10" location="PRESUPUESTO!A1" xr:uid="{493D66BF-738F-4C27-84F9-3DD3EAA3B7FB}"/>
    <hyperlink ref="A482" r:id="rId11" location="PRESUPUESTO!A1" xr:uid="{86B0F31C-5AB0-4F65-A933-DE6E4492ACA9}"/>
    <hyperlink ref="A533" r:id="rId12" location="PRESUPUESTO!A1" xr:uid="{227AE782-CC08-4487-9AED-3CD551EA3E9F}"/>
    <hyperlink ref="A584" r:id="rId13" location="PRESUPUESTO!A1" xr:uid="{597DEDA7-3F0E-4A43-AF1D-BD60D47BD1CC}"/>
    <hyperlink ref="A634" r:id="rId14" location="PRESUPUESTO!A1" xr:uid="{F6D17672-893C-44E6-B2F3-062E7BC98EF9}"/>
    <hyperlink ref="A682" r:id="rId15" location="PRESUPUESTO!A1" xr:uid="{0E4EF69A-DC86-4D64-A7DA-5E64257B30B6}"/>
    <hyperlink ref="A730" r:id="rId16" location="PRESUPUESTO!A1" xr:uid="{56346899-75F5-4342-A68A-F5E8FA4858B2}"/>
    <hyperlink ref="A778" r:id="rId17" location="PRESUPUESTO!A1" xr:uid="{906F7994-6F4C-4B7A-9757-DEDE3FA0935E}"/>
    <hyperlink ref="A826" r:id="rId18" location="PRESUPUESTO!A1" xr:uid="{15E478BA-15D0-42F3-82A8-67912CB57F5C}"/>
    <hyperlink ref="A874" r:id="rId19" location="PRESUPUESTO!A1" xr:uid="{9411D589-BC81-4D2F-B419-543E3EF86589}"/>
    <hyperlink ref="A922" r:id="rId20" location="PRESUPUESTO!A1" xr:uid="{C3D83D74-F646-496E-8836-576D5F81C8E0}"/>
    <hyperlink ref="A970" r:id="rId21" location="PRESUPUESTO!A1" xr:uid="{5A7E7993-2A6B-45E9-915D-AF26EA742E51}"/>
    <hyperlink ref="A1018" r:id="rId22" location="PRESUPUESTO!A1" xr:uid="{B3C4BC13-75B6-4480-A639-14B38AFEFF66}"/>
    <hyperlink ref="A1066" r:id="rId23" location="PRESUPUESTO!A1" xr:uid="{80F29135-B3DB-4BBA-81A0-5F72184093B9}"/>
    <hyperlink ref="A1114" r:id="rId24" location="PRESUPUESTO!A1" xr:uid="{7484848E-CBED-4015-8A16-30D2FA23B538}"/>
    <hyperlink ref="A1162" r:id="rId25" location="PRESUPUESTO!A1" xr:uid="{3FAC5873-1D3E-4B95-996F-268CC6B20BD8}"/>
    <hyperlink ref="A1209" r:id="rId26" location="PRESUPUESTO!A1" xr:uid="{D028D92C-7D05-4818-8ACC-E62A0659AE9E}"/>
    <hyperlink ref="A1257" r:id="rId27" location="PRESUPUESTO!A1" xr:uid="{C005CE08-FEA6-47EA-B1D3-47616568396C}"/>
    <hyperlink ref="A1305" r:id="rId28" location="PRESUPUESTO!A1" xr:uid="{44D2C6E7-4B73-4816-B8B9-7907FE0C1002}"/>
    <hyperlink ref="A1353" r:id="rId29" location="PRESUPUESTO!A1" xr:uid="{E3C6D4A8-CFAF-4885-A85E-F3526F3CD789}"/>
    <hyperlink ref="A1401" r:id="rId30" location="PRESUPUESTO!A1" xr:uid="{5FB689AE-C0C8-431F-8B89-48FAB7417189}"/>
    <hyperlink ref="A1449" r:id="rId31" location="PRESUPUESTO!A1" xr:uid="{66CCEB2C-E74D-4174-8584-17A947EA33A3}"/>
    <hyperlink ref="A1494" r:id="rId32" location="PRESUPUESTO!A1" xr:uid="{70A0F0B7-8B60-4F25-8408-D39CD962CB9E}"/>
    <hyperlink ref="A1542" r:id="rId33" location="PRESUPUESTO!A1" xr:uid="{025699A8-08CE-4387-A14F-08213A6685B2}"/>
    <hyperlink ref="A1589" r:id="rId34" location="PRESUPUESTO!A1" xr:uid="{07E5A89E-2D3C-41E4-90F9-A0AA3709C67A}"/>
    <hyperlink ref="A1643" r:id="rId35" location="PRESUPUESTO!A1" xr:uid="{C33535EF-DBD2-4241-B95E-33933E9D4206}"/>
    <hyperlink ref="A1697" r:id="rId36" location="PRESUPUESTO!A1" xr:uid="{1E6E9A44-AF6D-4AAB-8ADE-8DA0C355EAD8}"/>
    <hyperlink ref="A1751" r:id="rId37" location="PRESUPUESTO!A1" xr:uid="{1AFA166B-A3EF-4079-98B2-956A6B3F662F}"/>
    <hyperlink ref="A1852" r:id="rId38" location="PRESUPUESTO!A1" xr:uid="{4C132945-1E86-4952-8F10-C56FD95C0AFA}"/>
    <hyperlink ref="A1805" r:id="rId39" location="PRESUPUESTO!A1" xr:uid="{BD3BBDAF-19FA-494D-8715-401CB838D609}"/>
    <hyperlink ref="A1900" r:id="rId40" location="PRESUPUESTO!A1" xr:uid="{A90E15D8-9147-4206-91A2-28E159CF5E24}"/>
    <hyperlink ref="A1948" r:id="rId41" location="PRESUPUESTO!A1" xr:uid="{B1244918-6702-4A52-87F2-928DE28D50A0}"/>
  </hyperlinks>
  <pageMargins left="0.7" right="0.7" top="0.75" bottom="0.75" header="0.3" footer="0.3"/>
  <pageSetup paperSize="9" scale="91" orientation="portrait" horizontalDpi="4294967295" verticalDpi="4294967295" r:id="rId42"/>
  <rowBreaks count="37" manualBreakCount="37">
    <brk id="48" max="16383" man="1"/>
    <brk id="96" max="16383" man="1"/>
    <brk id="145" max="16383" man="1"/>
    <brk id="193" max="16383" man="1"/>
    <brk id="241" max="16383" man="1"/>
    <brk id="291" max="16383" man="1"/>
    <brk id="337" max="16383" man="1"/>
    <brk id="385" max="16383" man="1"/>
    <brk id="433" max="16383" man="1"/>
    <brk id="481" max="16383" man="1"/>
    <brk id="532" max="16383" man="1"/>
    <brk id="583" max="16383" man="1"/>
    <brk id="633" max="16383" man="1"/>
    <brk id="681" max="16383" man="1"/>
    <brk id="729" max="16383" man="1"/>
    <brk id="777" max="16383" man="1"/>
    <brk id="825" max="16383" man="1"/>
    <brk id="873" max="16383" man="1"/>
    <brk id="921" max="16383" man="1"/>
    <brk id="969" max="16383" man="1"/>
    <brk id="1017" max="16383" man="1"/>
    <brk id="1065" max="16383" man="1"/>
    <brk id="1113" max="16383" man="1"/>
    <brk id="1161" max="16383" man="1"/>
    <brk id="1208" max="16383" man="1"/>
    <brk id="1256" max="16383" man="1"/>
    <brk id="1304" max="16383" man="1"/>
    <brk id="1352" max="16383" man="1"/>
    <brk id="1400" max="16383" man="1"/>
    <brk id="1448" max="16383" man="1"/>
    <brk id="1493" max="16383" man="1"/>
    <brk id="1541" max="16383" man="1"/>
    <brk id="1588" max="16383" man="1"/>
    <brk id="1642" max="16383" man="1"/>
    <brk id="1851" max="16383" man="1"/>
    <brk id="1899" max="16383" man="1"/>
    <brk id="1947" max="16383" man="1"/>
  </rowBreaks>
  <ignoredErrors>
    <ignoredError sqref="G1616 G1670" formula="1"/>
  </ignoredErrors>
  <drawing r:id="rId4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B7868-105B-47DF-91A9-F891C0BC6870}">
  <dimension ref="A1:R897"/>
  <sheetViews>
    <sheetView view="pageBreakPreview" topLeftCell="A562" zoomScale="145" zoomScaleNormal="100" zoomScaleSheetLayoutView="145" workbookViewId="0">
      <selection activeCell="L557" sqref="L557"/>
    </sheetView>
  </sheetViews>
  <sheetFormatPr baseColWidth="10" defaultRowHeight="12.75"/>
  <cols>
    <col min="1" max="1" width="11.42578125" style="446"/>
    <col min="2" max="2" width="10.42578125" style="446" customWidth="1"/>
    <col min="3" max="3" width="13" style="446" customWidth="1"/>
    <col min="4" max="12" width="11.42578125" style="446"/>
    <col min="13" max="13" width="15.42578125" style="446" bestFit="1" customWidth="1"/>
    <col min="14" max="14" width="13.85546875" style="446" bestFit="1" customWidth="1"/>
    <col min="15" max="15" width="11.42578125" style="446"/>
    <col min="16" max="16" width="15.28515625" style="446" customWidth="1"/>
    <col min="17" max="259" width="11.42578125" style="446"/>
    <col min="260" max="260" width="10.42578125" style="446" customWidth="1"/>
    <col min="261" max="261" width="13" style="446" customWidth="1"/>
    <col min="262" max="515" width="11.42578125" style="446"/>
    <col min="516" max="516" width="10.42578125" style="446" customWidth="1"/>
    <col min="517" max="517" width="13" style="446" customWidth="1"/>
    <col min="518" max="771" width="11.42578125" style="446"/>
    <col min="772" max="772" width="10.42578125" style="446" customWidth="1"/>
    <col min="773" max="773" width="13" style="446" customWidth="1"/>
    <col min="774" max="1027" width="11.42578125" style="446"/>
    <col min="1028" max="1028" width="10.42578125" style="446" customWidth="1"/>
    <col min="1029" max="1029" width="13" style="446" customWidth="1"/>
    <col min="1030" max="1283" width="11.42578125" style="446"/>
    <col min="1284" max="1284" width="10.42578125" style="446" customWidth="1"/>
    <col min="1285" max="1285" width="13" style="446" customWidth="1"/>
    <col min="1286" max="1539" width="11.42578125" style="446"/>
    <col min="1540" max="1540" width="10.42578125" style="446" customWidth="1"/>
    <col min="1541" max="1541" width="13" style="446" customWidth="1"/>
    <col min="1542" max="1795" width="11.42578125" style="446"/>
    <col min="1796" max="1796" width="10.42578125" style="446" customWidth="1"/>
    <col min="1797" max="1797" width="13" style="446" customWidth="1"/>
    <col min="1798" max="2051" width="11.42578125" style="446"/>
    <col min="2052" max="2052" width="10.42578125" style="446" customWidth="1"/>
    <col min="2053" max="2053" width="13" style="446" customWidth="1"/>
    <col min="2054" max="2307" width="11.42578125" style="446"/>
    <col min="2308" max="2308" width="10.42578125" style="446" customWidth="1"/>
    <col min="2309" max="2309" width="13" style="446" customWidth="1"/>
    <col min="2310" max="2563" width="11.42578125" style="446"/>
    <col min="2564" max="2564" width="10.42578125" style="446" customWidth="1"/>
    <col min="2565" max="2565" width="13" style="446" customWidth="1"/>
    <col min="2566" max="2819" width="11.42578125" style="446"/>
    <col min="2820" max="2820" width="10.42578125" style="446" customWidth="1"/>
    <col min="2821" max="2821" width="13" style="446" customWidth="1"/>
    <col min="2822" max="3075" width="11.42578125" style="446"/>
    <col min="3076" max="3076" width="10.42578125" style="446" customWidth="1"/>
    <col min="3077" max="3077" width="13" style="446" customWidth="1"/>
    <col min="3078" max="3331" width="11.42578125" style="446"/>
    <col min="3332" max="3332" width="10.42578125" style="446" customWidth="1"/>
    <col min="3333" max="3333" width="13" style="446" customWidth="1"/>
    <col min="3334" max="3587" width="11.42578125" style="446"/>
    <col min="3588" max="3588" width="10.42578125" style="446" customWidth="1"/>
    <col min="3589" max="3589" width="13" style="446" customWidth="1"/>
    <col min="3590" max="3843" width="11.42578125" style="446"/>
    <col min="3844" max="3844" width="10.42578125" style="446" customWidth="1"/>
    <col min="3845" max="3845" width="13" style="446" customWidth="1"/>
    <col min="3846" max="4099" width="11.42578125" style="446"/>
    <col min="4100" max="4100" width="10.42578125" style="446" customWidth="1"/>
    <col min="4101" max="4101" width="13" style="446" customWidth="1"/>
    <col min="4102" max="4355" width="11.42578125" style="446"/>
    <col min="4356" max="4356" width="10.42578125" style="446" customWidth="1"/>
    <col min="4357" max="4357" width="13" style="446" customWidth="1"/>
    <col min="4358" max="4611" width="11.42578125" style="446"/>
    <col min="4612" max="4612" width="10.42578125" style="446" customWidth="1"/>
    <col min="4613" max="4613" width="13" style="446" customWidth="1"/>
    <col min="4614" max="4867" width="11.42578125" style="446"/>
    <col min="4868" max="4868" width="10.42578125" style="446" customWidth="1"/>
    <col min="4869" max="4869" width="13" style="446" customWidth="1"/>
    <col min="4870" max="5123" width="11.42578125" style="446"/>
    <col min="5124" max="5124" width="10.42578125" style="446" customWidth="1"/>
    <col min="5125" max="5125" width="13" style="446" customWidth="1"/>
    <col min="5126" max="5379" width="11.42578125" style="446"/>
    <col min="5380" max="5380" width="10.42578125" style="446" customWidth="1"/>
    <col min="5381" max="5381" width="13" style="446" customWidth="1"/>
    <col min="5382" max="5635" width="11.42578125" style="446"/>
    <col min="5636" max="5636" width="10.42578125" style="446" customWidth="1"/>
    <col min="5637" max="5637" width="13" style="446" customWidth="1"/>
    <col min="5638" max="5891" width="11.42578125" style="446"/>
    <col min="5892" max="5892" width="10.42578125" style="446" customWidth="1"/>
    <col min="5893" max="5893" width="13" style="446" customWidth="1"/>
    <col min="5894" max="6147" width="11.42578125" style="446"/>
    <col min="6148" max="6148" width="10.42578125" style="446" customWidth="1"/>
    <col min="6149" max="6149" width="13" style="446" customWidth="1"/>
    <col min="6150" max="6403" width="11.42578125" style="446"/>
    <col min="6404" max="6404" width="10.42578125" style="446" customWidth="1"/>
    <col min="6405" max="6405" width="13" style="446" customWidth="1"/>
    <col min="6406" max="6659" width="11.42578125" style="446"/>
    <col min="6660" max="6660" width="10.42578125" style="446" customWidth="1"/>
    <col min="6661" max="6661" width="13" style="446" customWidth="1"/>
    <col min="6662" max="6915" width="11.42578125" style="446"/>
    <col min="6916" max="6916" width="10.42578125" style="446" customWidth="1"/>
    <col min="6917" max="6917" width="13" style="446" customWidth="1"/>
    <col min="6918" max="7171" width="11.42578125" style="446"/>
    <col min="7172" max="7172" width="10.42578125" style="446" customWidth="1"/>
    <col min="7173" max="7173" width="13" style="446" customWidth="1"/>
    <col min="7174" max="7427" width="11.42578125" style="446"/>
    <col min="7428" max="7428" width="10.42578125" style="446" customWidth="1"/>
    <col min="7429" max="7429" width="13" style="446" customWidth="1"/>
    <col min="7430" max="7683" width="11.42578125" style="446"/>
    <col min="7684" max="7684" width="10.42578125" style="446" customWidth="1"/>
    <col min="7685" max="7685" width="13" style="446" customWidth="1"/>
    <col min="7686" max="7939" width="11.42578125" style="446"/>
    <col min="7940" max="7940" width="10.42578125" style="446" customWidth="1"/>
    <col min="7941" max="7941" width="13" style="446" customWidth="1"/>
    <col min="7942" max="8195" width="11.42578125" style="446"/>
    <col min="8196" max="8196" width="10.42578125" style="446" customWidth="1"/>
    <col min="8197" max="8197" width="13" style="446" customWidth="1"/>
    <col min="8198" max="8451" width="11.42578125" style="446"/>
    <col min="8452" max="8452" width="10.42578125" style="446" customWidth="1"/>
    <col min="8453" max="8453" width="13" style="446" customWidth="1"/>
    <col min="8454" max="8707" width="11.42578125" style="446"/>
    <col min="8708" max="8708" width="10.42578125" style="446" customWidth="1"/>
    <col min="8709" max="8709" width="13" style="446" customWidth="1"/>
    <col min="8710" max="8963" width="11.42578125" style="446"/>
    <col min="8964" max="8964" width="10.42578125" style="446" customWidth="1"/>
    <col min="8965" max="8965" width="13" style="446" customWidth="1"/>
    <col min="8966" max="9219" width="11.42578125" style="446"/>
    <col min="9220" max="9220" width="10.42578125" style="446" customWidth="1"/>
    <col min="9221" max="9221" width="13" style="446" customWidth="1"/>
    <col min="9222" max="9475" width="11.42578125" style="446"/>
    <col min="9476" max="9476" width="10.42578125" style="446" customWidth="1"/>
    <col min="9477" max="9477" width="13" style="446" customWidth="1"/>
    <col min="9478" max="9731" width="11.42578125" style="446"/>
    <col min="9732" max="9732" width="10.42578125" style="446" customWidth="1"/>
    <col min="9733" max="9733" width="13" style="446" customWidth="1"/>
    <col min="9734" max="9987" width="11.42578125" style="446"/>
    <col min="9988" max="9988" width="10.42578125" style="446" customWidth="1"/>
    <col min="9989" max="9989" width="13" style="446" customWidth="1"/>
    <col min="9990" max="10243" width="11.42578125" style="446"/>
    <col min="10244" max="10244" width="10.42578125" style="446" customWidth="1"/>
    <col min="10245" max="10245" width="13" style="446" customWidth="1"/>
    <col min="10246" max="10499" width="11.42578125" style="446"/>
    <col min="10500" max="10500" width="10.42578125" style="446" customWidth="1"/>
    <col min="10501" max="10501" width="13" style="446" customWidth="1"/>
    <col min="10502" max="10755" width="11.42578125" style="446"/>
    <col min="10756" max="10756" width="10.42578125" style="446" customWidth="1"/>
    <col min="10757" max="10757" width="13" style="446" customWidth="1"/>
    <col min="10758" max="11011" width="11.42578125" style="446"/>
    <col min="11012" max="11012" width="10.42578125" style="446" customWidth="1"/>
    <col min="11013" max="11013" width="13" style="446" customWidth="1"/>
    <col min="11014" max="11267" width="11.42578125" style="446"/>
    <col min="11268" max="11268" width="10.42578125" style="446" customWidth="1"/>
    <col min="11269" max="11269" width="13" style="446" customWidth="1"/>
    <col min="11270" max="11523" width="11.42578125" style="446"/>
    <col min="11524" max="11524" width="10.42578125" style="446" customWidth="1"/>
    <col min="11525" max="11525" width="13" style="446" customWidth="1"/>
    <col min="11526" max="11779" width="11.42578125" style="446"/>
    <col min="11780" max="11780" width="10.42578125" style="446" customWidth="1"/>
    <col min="11781" max="11781" width="13" style="446" customWidth="1"/>
    <col min="11782" max="12035" width="11.42578125" style="446"/>
    <col min="12036" max="12036" width="10.42578125" style="446" customWidth="1"/>
    <col min="12037" max="12037" width="13" style="446" customWidth="1"/>
    <col min="12038" max="12291" width="11.42578125" style="446"/>
    <col min="12292" max="12292" width="10.42578125" style="446" customWidth="1"/>
    <col min="12293" max="12293" width="13" style="446" customWidth="1"/>
    <col min="12294" max="12547" width="11.42578125" style="446"/>
    <col min="12548" max="12548" width="10.42578125" style="446" customWidth="1"/>
    <col min="12549" max="12549" width="13" style="446" customWidth="1"/>
    <col min="12550" max="12803" width="11.42578125" style="446"/>
    <col min="12804" max="12804" width="10.42578125" style="446" customWidth="1"/>
    <col min="12805" max="12805" width="13" style="446" customWidth="1"/>
    <col min="12806" max="13059" width="11.42578125" style="446"/>
    <col min="13060" max="13060" width="10.42578125" style="446" customWidth="1"/>
    <col min="13061" max="13061" width="13" style="446" customWidth="1"/>
    <col min="13062" max="13315" width="11.42578125" style="446"/>
    <col min="13316" max="13316" width="10.42578125" style="446" customWidth="1"/>
    <col min="13317" max="13317" width="13" style="446" customWidth="1"/>
    <col min="13318" max="13571" width="11.42578125" style="446"/>
    <col min="13572" max="13572" width="10.42578125" style="446" customWidth="1"/>
    <col min="13573" max="13573" width="13" style="446" customWidth="1"/>
    <col min="13574" max="13827" width="11.42578125" style="446"/>
    <col min="13828" max="13828" width="10.42578125" style="446" customWidth="1"/>
    <col min="13829" max="13829" width="13" style="446" customWidth="1"/>
    <col min="13830" max="14083" width="11.42578125" style="446"/>
    <col min="14084" max="14084" width="10.42578125" style="446" customWidth="1"/>
    <col min="14085" max="14085" width="13" style="446" customWidth="1"/>
    <col min="14086" max="14339" width="11.42578125" style="446"/>
    <col min="14340" max="14340" width="10.42578125" style="446" customWidth="1"/>
    <col min="14341" max="14341" width="13" style="446" customWidth="1"/>
    <col min="14342" max="14595" width="11.42578125" style="446"/>
    <col min="14596" max="14596" width="10.42578125" style="446" customWidth="1"/>
    <col min="14597" max="14597" width="13" style="446" customWidth="1"/>
    <col min="14598" max="14851" width="11.42578125" style="446"/>
    <col min="14852" max="14852" width="10.42578125" style="446" customWidth="1"/>
    <col min="14853" max="14853" width="13" style="446" customWidth="1"/>
    <col min="14854" max="15107" width="11.42578125" style="446"/>
    <col min="15108" max="15108" width="10.42578125" style="446" customWidth="1"/>
    <col min="15109" max="15109" width="13" style="446" customWidth="1"/>
    <col min="15110" max="15363" width="11.42578125" style="446"/>
    <col min="15364" max="15364" width="10.42578125" style="446" customWidth="1"/>
    <col min="15365" max="15365" width="13" style="446" customWidth="1"/>
    <col min="15366" max="15619" width="11.42578125" style="446"/>
    <col min="15620" max="15620" width="10.42578125" style="446" customWidth="1"/>
    <col min="15621" max="15621" width="13" style="446" customWidth="1"/>
    <col min="15622" max="15875" width="11.42578125" style="446"/>
    <col min="15876" max="15876" width="10.42578125" style="446" customWidth="1"/>
    <col min="15877" max="15877" width="13" style="446" customWidth="1"/>
    <col min="15878" max="16131" width="11.42578125" style="446"/>
    <col min="16132" max="16132" width="10.42578125" style="446" customWidth="1"/>
    <col min="16133" max="16133" width="13" style="446" customWidth="1"/>
    <col min="16134" max="16384" width="11.42578125" style="446"/>
  </cols>
  <sheetData>
    <row r="1" spans="1:11" ht="13.5" thickBot="1"/>
    <row r="2" spans="1:11" ht="15" customHeight="1">
      <c r="A2" s="1348" t="s">
        <v>213</v>
      </c>
      <c r="B2" s="1349"/>
      <c r="C2" s="1350"/>
      <c r="D2" s="448"/>
      <c r="E2" s="448"/>
      <c r="F2" s="448"/>
      <c r="G2" s="448"/>
      <c r="H2" s="449"/>
    </row>
    <row r="3" spans="1:11" ht="15" customHeight="1">
      <c r="A3" s="1351"/>
      <c r="B3" s="1352"/>
      <c r="C3" s="1353"/>
      <c r="D3" s="436"/>
      <c r="E3" s="450" t="s">
        <v>78</v>
      </c>
      <c r="F3" s="436"/>
      <c r="G3" s="436"/>
      <c r="H3" s="451"/>
      <c r="I3" s="436"/>
      <c r="J3" s="436"/>
    </row>
    <row r="4" spans="1:11" ht="15.75" customHeight="1" thickBot="1">
      <c r="A4" s="1354"/>
      <c r="B4" s="1355"/>
      <c r="C4" s="1356"/>
      <c r="D4" s="1360"/>
      <c r="E4" s="1361"/>
      <c r="F4" s="1361"/>
      <c r="G4" s="1361"/>
      <c r="H4" s="1362"/>
      <c r="I4" s="483"/>
      <c r="J4" s="483"/>
    </row>
    <row r="5" spans="1:11">
      <c r="A5" s="455"/>
      <c r="B5" s="436"/>
      <c r="C5" s="436"/>
      <c r="D5" s="436"/>
      <c r="E5" s="436"/>
      <c r="F5" s="436"/>
      <c r="G5" s="436"/>
      <c r="H5" s="436"/>
      <c r="I5" s="436"/>
      <c r="J5" s="436"/>
    </row>
    <row r="6" spans="1:11">
      <c r="A6" s="455" t="s">
        <v>547</v>
      </c>
      <c r="B6" s="456"/>
      <c r="C6" s="436"/>
      <c r="E6" s="456"/>
      <c r="G6" s="456" t="s">
        <v>1123</v>
      </c>
      <c r="H6" s="483" t="s">
        <v>1206</v>
      </c>
      <c r="I6" s="436"/>
      <c r="J6" s="436"/>
    </row>
    <row r="7" spans="1:11" s="931" customFormat="1" ht="52.15" customHeight="1">
      <c r="A7" s="928" t="s">
        <v>1122</v>
      </c>
      <c r="B7" s="1375" t="str">
        <f>VLOOKUP(H6,PRESUPUESTO!$A$18:$F$251,2,FALSE)</f>
        <v>Excavación manual o mecánica 0 - 2 m, bajo cualquier grado de humedad. Incluye: roca descompuesta, bolas de roca de volumen inferior a 0.35 m³., No incluye: El cargue, transporte interno y externo y botada de material proveniente de las excavaciones y su medida será en el sitio y el entibado se pagará en su ítem correspondiente.</v>
      </c>
      <c r="C7" s="1375"/>
      <c r="D7" s="1375"/>
      <c r="E7" s="1375"/>
      <c r="F7" s="1375"/>
      <c r="G7" s="929" t="s">
        <v>9</v>
      </c>
      <c r="H7" s="1024" t="str">
        <f>VLOOKUP(H6,PRESUPUESTO!$A$18:$F$251,3,FALSE)</f>
        <v>m3</v>
      </c>
    </row>
    <row r="8" spans="1:11">
      <c r="A8" s="456"/>
      <c r="B8" s="456"/>
      <c r="C8" s="436"/>
      <c r="D8" s="456"/>
      <c r="E8" s="456"/>
      <c r="F8" s="456"/>
      <c r="G8" s="456"/>
      <c r="H8" s="436"/>
      <c r="I8" s="436"/>
      <c r="J8" s="436"/>
    </row>
    <row r="9" spans="1:11" ht="13.5" thickBot="1">
      <c r="A9" s="450" t="s">
        <v>79</v>
      </c>
      <c r="B9" s="450"/>
      <c r="C9" s="436"/>
      <c r="D9" s="436"/>
      <c r="E9" s="436"/>
      <c r="F9" s="436"/>
      <c r="G9" s="436"/>
      <c r="H9" s="436"/>
      <c r="I9" s="436"/>
      <c r="J9" s="436"/>
    </row>
    <row r="10" spans="1:11">
      <c r="A10" s="1345" t="s">
        <v>80</v>
      </c>
      <c r="B10" s="1346"/>
      <c r="C10" s="1347"/>
      <c r="D10" s="438" t="s">
        <v>81</v>
      </c>
      <c r="E10" s="438" t="s">
        <v>82</v>
      </c>
      <c r="F10" s="438" t="s">
        <v>83</v>
      </c>
      <c r="G10" s="439" t="s">
        <v>84</v>
      </c>
      <c r="H10" s="457"/>
      <c r="I10" s="436"/>
      <c r="J10" s="436"/>
      <c r="K10" s="548"/>
    </row>
    <row r="11" spans="1:11">
      <c r="A11" s="1357" t="s">
        <v>85</v>
      </c>
      <c r="B11" s="1358"/>
      <c r="C11" s="1359"/>
      <c r="D11" s="459"/>
      <c r="E11" s="440"/>
      <c r="F11" s="440"/>
      <c r="G11" s="432">
        <f>ROUND(H36*0.05,0)</f>
        <v>925</v>
      </c>
      <c r="H11" s="460"/>
      <c r="I11" s="436"/>
      <c r="J11" s="436"/>
    </row>
    <row r="12" spans="1:11" customFormat="1" ht="15">
      <c r="A12" s="1357" t="s">
        <v>625</v>
      </c>
      <c r="B12" s="1358"/>
      <c r="C12" s="1359"/>
      <c r="D12" s="461" t="s">
        <v>626</v>
      </c>
      <c r="E12" s="462">
        <f>110000*1.19</f>
        <v>130900</v>
      </c>
      <c r="F12" s="497">
        <v>4.5999999999999996</v>
      </c>
      <c r="G12" s="432">
        <f>E12/F12</f>
        <v>28456.521739130436</v>
      </c>
      <c r="H12" s="460"/>
    </row>
    <row r="13" spans="1:11" ht="13.5" thickBot="1">
      <c r="A13" s="1342"/>
      <c r="B13" s="1343"/>
      <c r="C13" s="1344"/>
      <c r="D13" s="464"/>
      <c r="E13" s="433"/>
      <c r="F13" s="434"/>
      <c r="G13" s="435"/>
      <c r="H13" s="465"/>
      <c r="I13" s="436"/>
      <c r="J13" s="436"/>
    </row>
    <row r="14" spans="1:11" ht="13.5" thickBot="1">
      <c r="A14" s="436"/>
      <c r="B14" s="436"/>
      <c r="C14" s="436"/>
      <c r="D14" s="436"/>
      <c r="E14" s="436"/>
      <c r="F14" s="436"/>
      <c r="G14" s="437" t="s">
        <v>86</v>
      </c>
      <c r="H14" s="466">
        <f>SUM(G11:G13)</f>
        <v>29381.521739130436</v>
      </c>
      <c r="I14" s="541"/>
      <c r="J14" s="541"/>
    </row>
    <row r="15" spans="1:11" ht="13.5" thickBot="1">
      <c r="A15" s="450" t="s">
        <v>87</v>
      </c>
      <c r="B15" s="450"/>
      <c r="C15" s="436"/>
      <c r="D15" s="436"/>
      <c r="E15" s="436"/>
      <c r="F15" s="436"/>
      <c r="G15" s="436"/>
      <c r="H15" s="436"/>
      <c r="I15" s="436"/>
      <c r="J15" s="436"/>
    </row>
    <row r="16" spans="1:11">
      <c r="A16" s="1345" t="s">
        <v>80</v>
      </c>
      <c r="B16" s="1346"/>
      <c r="C16" s="1347"/>
      <c r="D16" s="438" t="s">
        <v>88</v>
      </c>
      <c r="E16" s="438" t="s">
        <v>89</v>
      </c>
      <c r="F16" s="438" t="s">
        <v>90</v>
      </c>
      <c r="G16" s="439" t="s">
        <v>84</v>
      </c>
      <c r="H16" s="457"/>
      <c r="I16" s="436"/>
      <c r="J16" s="436"/>
    </row>
    <row r="17" spans="1:10">
      <c r="A17" s="469"/>
      <c r="B17" s="467"/>
      <c r="C17" s="468"/>
      <c r="D17" s="459"/>
      <c r="E17" s="430"/>
      <c r="F17" s="431"/>
      <c r="G17" s="432">
        <f t="shared" ref="G17:G19" si="0">SUM(G14:G16)*C17</f>
        <v>0</v>
      </c>
      <c r="H17" s="460"/>
      <c r="I17" s="436"/>
    </row>
    <row r="18" spans="1:10">
      <c r="A18" s="469"/>
      <c r="B18" s="467"/>
      <c r="C18" s="468"/>
      <c r="D18" s="459"/>
      <c r="E18" s="430"/>
      <c r="F18" s="431"/>
      <c r="G18" s="432">
        <f t="shared" si="0"/>
        <v>0</v>
      </c>
      <c r="H18" s="460"/>
      <c r="I18" s="436"/>
      <c r="J18" s="436"/>
    </row>
    <row r="19" spans="1:10">
      <c r="A19" s="469"/>
      <c r="B19" s="467"/>
      <c r="C19" s="468"/>
      <c r="D19" s="459"/>
      <c r="E19" s="430"/>
      <c r="F19" s="431"/>
      <c r="G19" s="432">
        <f t="shared" si="0"/>
        <v>0</v>
      </c>
      <c r="H19" s="460"/>
      <c r="I19" s="436"/>
      <c r="J19" s="436"/>
    </row>
    <row r="20" spans="1:10">
      <c r="A20" s="469"/>
      <c r="B20" s="467"/>
      <c r="C20" s="468"/>
      <c r="D20" s="459"/>
      <c r="E20" s="430"/>
      <c r="F20" s="431"/>
      <c r="G20" s="432">
        <f>SUM(G17:G19)*C20</f>
        <v>0</v>
      </c>
      <c r="H20" s="460"/>
      <c r="I20" s="436"/>
      <c r="J20" s="436"/>
    </row>
    <row r="21" spans="1:10">
      <c r="A21" s="469"/>
      <c r="B21" s="467"/>
      <c r="C21" s="468"/>
      <c r="D21" s="459"/>
      <c r="E21" s="430"/>
      <c r="F21" s="431"/>
      <c r="G21" s="432"/>
      <c r="H21" s="460"/>
      <c r="I21" s="436"/>
      <c r="J21" s="436"/>
    </row>
    <row r="22" spans="1:10" ht="13.5" thickBot="1">
      <c r="A22" s="472"/>
      <c r="B22" s="473"/>
      <c r="C22" s="474"/>
      <c r="D22" s="464"/>
      <c r="E22" s="433"/>
      <c r="F22" s="434"/>
      <c r="G22" s="435"/>
      <c r="H22" s="465"/>
      <c r="I22" s="436"/>
      <c r="J22" s="436"/>
    </row>
    <row r="23" spans="1:10" ht="13.5" thickBot="1">
      <c r="A23" s="436"/>
      <c r="B23" s="436"/>
      <c r="C23" s="436"/>
      <c r="D23" s="436"/>
      <c r="E23" s="436"/>
      <c r="F23" s="436"/>
      <c r="G23" s="437" t="s">
        <v>86</v>
      </c>
      <c r="H23" s="466">
        <f>SUM(G17:G22)</f>
        <v>0</v>
      </c>
      <c r="I23" s="541"/>
      <c r="J23" s="541"/>
    </row>
    <row r="24" spans="1:10" ht="13.5" thickBot="1">
      <c r="A24" s="450" t="s">
        <v>94</v>
      </c>
      <c r="B24" s="450"/>
      <c r="C24" s="436"/>
      <c r="D24" s="436"/>
      <c r="E24" s="436"/>
      <c r="F24" s="436"/>
      <c r="G24" s="436"/>
      <c r="H24" s="436"/>
      <c r="I24" s="436"/>
      <c r="J24" s="436"/>
    </row>
    <row r="25" spans="1:10">
      <c r="A25" s="1345" t="s">
        <v>95</v>
      </c>
      <c r="B25" s="1346"/>
      <c r="C25" s="1347"/>
      <c r="D25" s="438" t="s">
        <v>88</v>
      </c>
      <c r="E25" s="438" t="s">
        <v>89</v>
      </c>
      <c r="F25" s="438" t="s">
        <v>90</v>
      </c>
      <c r="G25" s="439" t="s">
        <v>84</v>
      </c>
      <c r="H25" s="457"/>
      <c r="I25" s="436"/>
      <c r="J25" s="436"/>
    </row>
    <row r="26" spans="1:10" customFormat="1" ht="15">
      <c r="A26" s="538"/>
      <c r="B26" s="539"/>
      <c r="C26" s="524"/>
      <c r="D26" s="525"/>
      <c r="E26" s="540"/>
      <c r="F26" s="528"/>
      <c r="G26" s="528">
        <f>+F26*C26</f>
        <v>0</v>
      </c>
      <c r="H26" s="529"/>
    </row>
    <row r="27" spans="1:10" ht="13.5" thickBot="1">
      <c r="A27" s="1342"/>
      <c r="B27" s="1343"/>
      <c r="C27" s="1344"/>
      <c r="D27" s="475"/>
      <c r="E27" s="433"/>
      <c r="F27" s="434"/>
      <c r="G27" s="441">
        <f>+F27*E27</f>
        <v>0</v>
      </c>
      <c r="H27" s="460"/>
      <c r="I27" s="436"/>
      <c r="J27" s="436"/>
    </row>
    <row r="28" spans="1:10" ht="13.5" thickBot="1">
      <c r="A28" s="436"/>
      <c r="B28" s="436"/>
      <c r="C28" s="436"/>
      <c r="D28" s="436"/>
      <c r="E28" s="436"/>
      <c r="F28" s="436"/>
      <c r="G28" s="437" t="s">
        <v>86</v>
      </c>
      <c r="H28" s="466">
        <f>SUM(G26:G27)</f>
        <v>0</v>
      </c>
      <c r="I28" s="541"/>
      <c r="J28" s="541"/>
    </row>
    <row r="29" spans="1:10" ht="13.5" thickBot="1">
      <c r="A29" s="450" t="s">
        <v>96</v>
      </c>
      <c r="B29" s="450"/>
      <c r="C29" s="436"/>
      <c r="D29" s="436"/>
      <c r="E29" s="436"/>
      <c r="F29" s="436"/>
      <c r="G29" s="436"/>
      <c r="H29" s="436"/>
      <c r="I29" s="436"/>
      <c r="J29" s="436"/>
    </row>
    <row r="30" spans="1:10">
      <c r="A30" s="476" t="s">
        <v>97</v>
      </c>
      <c r="B30" s="438"/>
      <c r="C30" s="438" t="s">
        <v>98</v>
      </c>
      <c r="D30" s="438" t="s">
        <v>99</v>
      </c>
      <c r="E30" s="442" t="s">
        <v>100</v>
      </c>
      <c r="F30" s="443" t="s">
        <v>83</v>
      </c>
      <c r="G30" s="444" t="s">
        <v>84</v>
      </c>
      <c r="H30" s="477"/>
      <c r="I30" s="436"/>
      <c r="J30" s="436"/>
    </row>
    <row r="31" spans="1:10">
      <c r="A31" s="478" t="s">
        <v>227</v>
      </c>
      <c r="B31" s="468">
        <v>2</v>
      </c>
      <c r="C31" s="479">
        <f>PERSONAL!$E$31</f>
        <v>48800</v>
      </c>
      <c r="D31" s="480">
        <f>PERSONAL!$F$31</f>
        <v>1.7431000000000001</v>
      </c>
      <c r="E31" s="440">
        <f>+D31*C31*B31</f>
        <v>170126.56</v>
      </c>
      <c r="F31" s="440">
        <f>+F12*2</f>
        <v>9.1999999999999993</v>
      </c>
      <c r="G31" s="445">
        <f>ROUND(E31/F31,0)</f>
        <v>18492</v>
      </c>
      <c r="H31" s="451"/>
      <c r="I31" s="436"/>
      <c r="J31" s="436"/>
    </row>
    <row r="32" spans="1:10">
      <c r="A32" s="478"/>
      <c r="B32" s="468"/>
      <c r="C32" s="430"/>
      <c r="D32" s="459"/>
      <c r="E32" s="430"/>
      <c r="F32" s="440"/>
      <c r="G32" s="445"/>
      <c r="H32" s="451"/>
      <c r="I32" s="436"/>
      <c r="J32" s="436"/>
    </row>
    <row r="33" spans="1:11">
      <c r="A33" s="478"/>
      <c r="B33" s="468"/>
      <c r="C33" s="430"/>
      <c r="D33" s="459"/>
      <c r="E33" s="430"/>
      <c r="F33" s="440"/>
      <c r="G33" s="445"/>
      <c r="H33" s="451"/>
      <c r="I33" s="436"/>
      <c r="J33" s="436"/>
    </row>
    <row r="34" spans="1:11">
      <c r="A34" s="478"/>
      <c r="B34" s="468"/>
      <c r="C34" s="430"/>
      <c r="D34" s="459"/>
      <c r="E34" s="430"/>
      <c r="F34" s="440"/>
      <c r="G34" s="445"/>
      <c r="H34" s="451"/>
      <c r="I34" s="436"/>
      <c r="J34" s="436"/>
    </row>
    <row r="35" spans="1:11" ht="13.5" thickBot="1">
      <c r="A35" s="481"/>
      <c r="B35" s="474"/>
      <c r="C35" s="474"/>
      <c r="D35" s="474"/>
      <c r="E35" s="474"/>
      <c r="F35" s="474"/>
      <c r="G35" s="482"/>
      <c r="H35" s="482"/>
      <c r="I35" s="436"/>
      <c r="J35" s="436"/>
    </row>
    <row r="36" spans="1:11" ht="13.5" thickBot="1">
      <c r="A36" s="436"/>
      <c r="B36" s="436"/>
      <c r="C36" s="436"/>
      <c r="D36" s="436"/>
      <c r="E36" s="436"/>
      <c r="F36" s="436"/>
      <c r="G36" s="437" t="s">
        <v>86</v>
      </c>
      <c r="H36" s="466">
        <f>SUM(G31:G35)</f>
        <v>18492</v>
      </c>
      <c r="I36" s="541"/>
      <c r="J36" s="541"/>
    </row>
    <row r="37" spans="1:11" ht="13.5" thickBot="1">
      <c r="A37" s="436"/>
      <c r="B37" s="436"/>
      <c r="C37" s="436"/>
      <c r="D37" s="436"/>
      <c r="E37" s="436"/>
      <c r="F37" s="436"/>
      <c r="G37" s="483"/>
      <c r="H37" s="436"/>
      <c r="I37" s="436"/>
      <c r="J37" s="436"/>
    </row>
    <row r="38" spans="1:11" ht="13.5" thickBot="1">
      <c r="A38" s="436"/>
      <c r="B38" s="436"/>
      <c r="C38" s="436"/>
      <c r="D38" s="436"/>
      <c r="E38" s="484" t="s">
        <v>102</v>
      </c>
      <c r="F38" s="485"/>
      <c r="G38" s="485"/>
      <c r="H38" s="466">
        <f>H14+H23+H28+H36</f>
        <v>47873.521739130432</v>
      </c>
      <c r="I38" s="541"/>
      <c r="J38" s="541"/>
    </row>
    <row r="39" spans="1:11" ht="13.5" thickBot="1"/>
    <row r="40" spans="1:11" ht="15" customHeight="1">
      <c r="A40" s="1348" t="s">
        <v>213</v>
      </c>
      <c r="B40" s="1349"/>
      <c r="C40" s="1350"/>
      <c r="D40" s="448"/>
      <c r="E40" s="448"/>
      <c r="F40" s="448"/>
      <c r="G40" s="448"/>
      <c r="H40" s="449"/>
    </row>
    <row r="41" spans="1:11" ht="15" customHeight="1">
      <c r="A41" s="1351"/>
      <c r="B41" s="1352"/>
      <c r="C41" s="1353"/>
      <c r="D41" s="436"/>
      <c r="E41" s="450" t="s">
        <v>78</v>
      </c>
      <c r="F41" s="436"/>
      <c r="G41" s="436"/>
      <c r="H41" s="451"/>
      <c r="I41" s="436"/>
      <c r="J41" s="436"/>
    </row>
    <row r="42" spans="1:11" ht="15.75" customHeight="1" thickBot="1">
      <c r="A42" s="1354"/>
      <c r="B42" s="1355"/>
      <c r="C42" s="1356"/>
      <c r="D42" s="1360"/>
      <c r="E42" s="1361"/>
      <c r="F42" s="1361"/>
      <c r="G42" s="1361"/>
      <c r="H42" s="1362"/>
      <c r="I42" s="483"/>
      <c r="J42" s="483"/>
    </row>
    <row r="43" spans="1:11">
      <c r="A43" s="455"/>
      <c r="B43" s="436"/>
      <c r="C43" s="436"/>
      <c r="D43" s="436"/>
      <c r="E43" s="436"/>
      <c r="F43" s="436"/>
      <c r="G43" s="436"/>
      <c r="H43" s="436"/>
      <c r="I43" s="436"/>
      <c r="J43" s="436"/>
    </row>
    <row r="44" spans="1:11">
      <c r="A44" s="455" t="s">
        <v>547</v>
      </c>
      <c r="B44" s="456"/>
      <c r="C44" s="436"/>
      <c r="E44" s="456"/>
      <c r="G44" s="456" t="s">
        <v>1123</v>
      </c>
      <c r="H44" s="483" t="s">
        <v>1207</v>
      </c>
      <c r="I44" s="436"/>
      <c r="J44" s="436"/>
    </row>
    <row r="45" spans="1:11" s="931" customFormat="1" ht="52.15" customHeight="1">
      <c r="A45" s="928" t="s">
        <v>1122</v>
      </c>
      <c r="B45" s="1375" t="str">
        <f>VLOOKUP(H44,PRESUPUESTO!$A$18:$F$251,2,FALSE)</f>
        <v>Excavación manual o mecánica 2 - 4 m, bajo cualquier grado de humedad. Incluye: roca descompuesta, bolas de roca de volumen inferior a 0.35 m³., No incluye: El cargue, transporte interno y externo y botada de material proveniente de las excavaciones y su medida será en el sitio y el entibado se pagará en su ítem correspondiente.</v>
      </c>
      <c r="C45" s="1375"/>
      <c r="D45" s="1375"/>
      <c r="E45" s="1375"/>
      <c r="F45" s="1375"/>
      <c r="G45" s="929" t="s">
        <v>9</v>
      </c>
      <c r="H45" s="1024" t="str">
        <f>VLOOKUP(H44,PRESUPUESTO!$A$18:$F$251,3,FALSE)</f>
        <v>m3</v>
      </c>
    </row>
    <row r="46" spans="1:11">
      <c r="A46" s="456"/>
      <c r="B46" s="456"/>
      <c r="C46" s="436"/>
      <c r="D46" s="456"/>
      <c r="E46" s="456"/>
      <c r="F46" s="456"/>
      <c r="G46" s="456"/>
      <c r="H46" s="436"/>
      <c r="I46" s="436"/>
      <c r="J46" s="436"/>
    </row>
    <row r="47" spans="1:11" ht="13.5" thickBot="1">
      <c r="A47" s="450" t="s">
        <v>79</v>
      </c>
      <c r="B47" s="450"/>
      <c r="C47" s="436"/>
      <c r="D47" s="436"/>
      <c r="E47" s="436"/>
      <c r="F47" s="436"/>
      <c r="G47" s="436"/>
      <c r="H47" s="436"/>
      <c r="I47" s="436"/>
      <c r="J47" s="436"/>
    </row>
    <row r="48" spans="1:11">
      <c r="A48" s="1345" t="s">
        <v>80</v>
      </c>
      <c r="B48" s="1346"/>
      <c r="C48" s="1347"/>
      <c r="D48" s="438" t="s">
        <v>81</v>
      </c>
      <c r="E48" s="438" t="s">
        <v>82</v>
      </c>
      <c r="F48" s="438" t="s">
        <v>83</v>
      </c>
      <c r="G48" s="439" t="s">
        <v>84</v>
      </c>
      <c r="H48" s="457"/>
      <c r="I48" s="436"/>
      <c r="J48" s="436"/>
      <c r="K48" s="548"/>
    </row>
    <row r="49" spans="1:10">
      <c r="A49" s="1357" t="s">
        <v>85</v>
      </c>
      <c r="B49" s="1358"/>
      <c r="C49" s="1359"/>
      <c r="D49" s="459"/>
      <c r="E49" s="440"/>
      <c r="F49" s="440"/>
      <c r="G49" s="432">
        <f>ROUND(H74*0.05,0)</f>
        <v>1119</v>
      </c>
      <c r="H49" s="460"/>
      <c r="I49" s="436"/>
      <c r="J49" s="436"/>
    </row>
    <row r="50" spans="1:10" customFormat="1" ht="15">
      <c r="A50" s="1357" t="s">
        <v>625</v>
      </c>
      <c r="B50" s="1358"/>
      <c r="C50" s="1359"/>
      <c r="D50" s="461" t="s">
        <v>626</v>
      </c>
      <c r="E50" s="462">
        <f>110000*1.19</f>
        <v>130900</v>
      </c>
      <c r="F50" s="497">
        <v>3.8</v>
      </c>
      <c r="G50" s="432">
        <f>E50/F50</f>
        <v>34447.368421052633</v>
      </c>
      <c r="H50" s="460"/>
    </row>
    <row r="51" spans="1:10" ht="13.5" thickBot="1">
      <c r="A51" s="1342"/>
      <c r="B51" s="1343"/>
      <c r="C51" s="1344"/>
      <c r="D51" s="464"/>
      <c r="E51" s="433"/>
      <c r="F51" s="434"/>
      <c r="G51" s="435"/>
      <c r="H51" s="465"/>
      <c r="I51" s="436"/>
      <c r="J51" s="436"/>
    </row>
    <row r="52" spans="1:10" ht="13.5" thickBot="1">
      <c r="A52" s="436"/>
      <c r="B52" s="436"/>
      <c r="C52" s="436"/>
      <c r="D52" s="436"/>
      <c r="E52" s="436"/>
      <c r="F52" s="436"/>
      <c r="G52" s="437" t="s">
        <v>86</v>
      </c>
      <c r="H52" s="466">
        <f>SUM(G49:G51)</f>
        <v>35566.368421052633</v>
      </c>
      <c r="I52" s="541"/>
      <c r="J52" s="541"/>
    </row>
    <row r="53" spans="1:10" ht="13.5" thickBot="1">
      <c r="A53" s="450" t="s">
        <v>87</v>
      </c>
      <c r="B53" s="450"/>
      <c r="C53" s="436"/>
      <c r="D53" s="436"/>
      <c r="E53" s="436"/>
      <c r="F53" s="436"/>
      <c r="G53" s="436"/>
      <c r="H53" s="436"/>
      <c r="I53" s="436"/>
      <c r="J53" s="436"/>
    </row>
    <row r="54" spans="1:10">
      <c r="A54" s="1345" t="s">
        <v>80</v>
      </c>
      <c r="B54" s="1346"/>
      <c r="C54" s="1347"/>
      <c r="D54" s="438" t="s">
        <v>88</v>
      </c>
      <c r="E54" s="438" t="s">
        <v>89</v>
      </c>
      <c r="F54" s="438" t="s">
        <v>90</v>
      </c>
      <c r="G54" s="439" t="s">
        <v>84</v>
      </c>
      <c r="H54" s="457"/>
      <c r="I54" s="436"/>
      <c r="J54" s="436"/>
    </row>
    <row r="55" spans="1:10">
      <c r="A55" s="469"/>
      <c r="B55" s="467"/>
      <c r="C55" s="468"/>
      <c r="D55" s="459"/>
      <c r="E55" s="430"/>
      <c r="F55" s="431"/>
      <c r="G55" s="432">
        <f t="shared" ref="G55:G57" si="1">SUM(G52:G54)*C55</f>
        <v>0</v>
      </c>
      <c r="H55" s="460"/>
      <c r="I55" s="436"/>
    </row>
    <row r="56" spans="1:10">
      <c r="A56" s="469"/>
      <c r="B56" s="467"/>
      <c r="C56" s="468"/>
      <c r="D56" s="459"/>
      <c r="E56" s="430"/>
      <c r="F56" s="431"/>
      <c r="G56" s="432">
        <f t="shared" si="1"/>
        <v>0</v>
      </c>
      <c r="H56" s="460"/>
      <c r="I56" s="436"/>
      <c r="J56" s="436"/>
    </row>
    <row r="57" spans="1:10">
      <c r="A57" s="469"/>
      <c r="B57" s="467"/>
      <c r="C57" s="468"/>
      <c r="D57" s="459"/>
      <c r="E57" s="430"/>
      <c r="F57" s="431"/>
      <c r="G57" s="432">
        <f t="shared" si="1"/>
        <v>0</v>
      </c>
      <c r="H57" s="460"/>
      <c r="I57" s="436"/>
      <c r="J57" s="436"/>
    </row>
    <row r="58" spans="1:10">
      <c r="A58" s="469"/>
      <c r="B58" s="467"/>
      <c r="C58" s="468"/>
      <c r="D58" s="459"/>
      <c r="E58" s="430"/>
      <c r="F58" s="431"/>
      <c r="G58" s="432">
        <f>SUM(G55:G57)*C58</f>
        <v>0</v>
      </c>
      <c r="H58" s="460"/>
      <c r="I58" s="436"/>
      <c r="J58" s="436"/>
    </row>
    <row r="59" spans="1:10">
      <c r="A59" s="469"/>
      <c r="B59" s="467"/>
      <c r="C59" s="468"/>
      <c r="D59" s="459"/>
      <c r="E59" s="430"/>
      <c r="F59" s="431"/>
      <c r="G59" s="432"/>
      <c r="H59" s="460"/>
      <c r="I59" s="436"/>
      <c r="J59" s="436"/>
    </row>
    <row r="60" spans="1:10" ht="13.5" thickBot="1">
      <c r="A60" s="472"/>
      <c r="B60" s="473"/>
      <c r="C60" s="474"/>
      <c r="D60" s="464"/>
      <c r="E60" s="433"/>
      <c r="F60" s="434"/>
      <c r="G60" s="435"/>
      <c r="H60" s="465"/>
      <c r="I60" s="436"/>
      <c r="J60" s="436"/>
    </row>
    <row r="61" spans="1:10" ht="13.5" thickBot="1">
      <c r="A61" s="436"/>
      <c r="B61" s="436"/>
      <c r="C61" s="436"/>
      <c r="D61" s="436"/>
      <c r="E61" s="436"/>
      <c r="F61" s="436"/>
      <c r="G61" s="437" t="s">
        <v>86</v>
      </c>
      <c r="H61" s="466">
        <f>SUM(G55:G60)</f>
        <v>0</v>
      </c>
      <c r="I61" s="541"/>
      <c r="J61" s="541"/>
    </row>
    <row r="62" spans="1:10" ht="13.5" thickBot="1">
      <c r="A62" s="450" t="s">
        <v>94</v>
      </c>
      <c r="B62" s="450"/>
      <c r="C62" s="436"/>
      <c r="D62" s="436"/>
      <c r="E62" s="436"/>
      <c r="F62" s="436"/>
      <c r="G62" s="436"/>
      <c r="H62" s="436"/>
      <c r="I62" s="436"/>
      <c r="J62" s="436"/>
    </row>
    <row r="63" spans="1:10">
      <c r="A63" s="1345" t="s">
        <v>95</v>
      </c>
      <c r="B63" s="1346"/>
      <c r="C63" s="1347"/>
      <c r="D63" s="438" t="s">
        <v>88</v>
      </c>
      <c r="E63" s="438" t="s">
        <v>89</v>
      </c>
      <c r="F63" s="438" t="s">
        <v>90</v>
      </c>
      <c r="G63" s="439" t="s">
        <v>84</v>
      </c>
      <c r="H63" s="457"/>
      <c r="I63" s="436"/>
      <c r="J63" s="436"/>
    </row>
    <row r="64" spans="1:10" customFormat="1" ht="15">
      <c r="A64" s="538"/>
      <c r="B64" s="539"/>
      <c r="C64" s="524"/>
      <c r="D64" s="525"/>
      <c r="E64" s="540"/>
      <c r="F64" s="528"/>
      <c r="G64" s="528">
        <f>+F64*C64</f>
        <v>0</v>
      </c>
      <c r="H64" s="529"/>
    </row>
    <row r="65" spans="1:10" ht="13.5" thickBot="1">
      <c r="A65" s="1342"/>
      <c r="B65" s="1343"/>
      <c r="C65" s="1344"/>
      <c r="D65" s="475"/>
      <c r="E65" s="433"/>
      <c r="F65" s="434"/>
      <c r="G65" s="441">
        <f>+F65*E65</f>
        <v>0</v>
      </c>
      <c r="H65" s="460"/>
      <c r="I65" s="436"/>
      <c r="J65" s="436"/>
    </row>
    <row r="66" spans="1:10" ht="13.5" thickBot="1">
      <c r="A66" s="436"/>
      <c r="B66" s="436"/>
      <c r="C66" s="436"/>
      <c r="D66" s="436"/>
      <c r="E66" s="436"/>
      <c r="F66" s="436"/>
      <c r="G66" s="437" t="s">
        <v>86</v>
      </c>
      <c r="H66" s="466">
        <f>SUM(G64:G65)</f>
        <v>0</v>
      </c>
      <c r="I66" s="541"/>
      <c r="J66" s="541"/>
    </row>
    <row r="67" spans="1:10" ht="13.5" thickBot="1">
      <c r="A67" s="450" t="s">
        <v>96</v>
      </c>
      <c r="B67" s="450"/>
      <c r="C67" s="436"/>
      <c r="D67" s="436"/>
      <c r="E67" s="436"/>
      <c r="F67" s="436"/>
      <c r="G67" s="436"/>
      <c r="H67" s="436"/>
      <c r="I67" s="436"/>
      <c r="J67" s="436"/>
    </row>
    <row r="68" spans="1:10">
      <c r="A68" s="476" t="s">
        <v>97</v>
      </c>
      <c r="B68" s="438"/>
      <c r="C68" s="438" t="s">
        <v>98</v>
      </c>
      <c r="D68" s="438" t="s">
        <v>99</v>
      </c>
      <c r="E68" s="442" t="s">
        <v>100</v>
      </c>
      <c r="F68" s="443" t="s">
        <v>83</v>
      </c>
      <c r="G68" s="444" t="s">
        <v>84</v>
      </c>
      <c r="H68" s="477"/>
      <c r="I68" s="436"/>
      <c r="J68" s="436"/>
    </row>
    <row r="69" spans="1:10">
      <c r="A69" s="478" t="s">
        <v>227</v>
      </c>
      <c r="B69" s="468">
        <v>2</v>
      </c>
      <c r="C69" s="479">
        <f>PERSONAL!$E$31</f>
        <v>48800</v>
      </c>
      <c r="D69" s="480">
        <f>PERSONAL!$F$31</f>
        <v>1.7431000000000001</v>
      </c>
      <c r="E69" s="440">
        <f>+D69*C69*B69</f>
        <v>170126.56</v>
      </c>
      <c r="F69" s="440">
        <f>+F50*2</f>
        <v>7.6</v>
      </c>
      <c r="G69" s="445">
        <f>ROUND(E69/F69,0)</f>
        <v>22385</v>
      </c>
      <c r="H69" s="451"/>
      <c r="I69" s="436"/>
      <c r="J69" s="436"/>
    </row>
    <row r="70" spans="1:10">
      <c r="A70" s="478"/>
      <c r="B70" s="468"/>
      <c r="C70" s="430"/>
      <c r="D70" s="459"/>
      <c r="E70" s="430"/>
      <c r="F70" s="440"/>
      <c r="G70" s="445"/>
      <c r="H70" s="451"/>
      <c r="I70" s="436"/>
      <c r="J70" s="436"/>
    </row>
    <row r="71" spans="1:10">
      <c r="A71" s="478"/>
      <c r="B71" s="468"/>
      <c r="C71" s="430"/>
      <c r="D71" s="459"/>
      <c r="E71" s="430"/>
      <c r="F71" s="440"/>
      <c r="G71" s="445"/>
      <c r="H71" s="451"/>
      <c r="I71" s="436"/>
      <c r="J71" s="436"/>
    </row>
    <row r="72" spans="1:10">
      <c r="A72" s="478"/>
      <c r="B72" s="468"/>
      <c r="C72" s="430"/>
      <c r="D72" s="459"/>
      <c r="E72" s="430"/>
      <c r="F72" s="440"/>
      <c r="G72" s="445"/>
      <c r="H72" s="451"/>
      <c r="I72" s="436"/>
      <c r="J72" s="436"/>
    </row>
    <row r="73" spans="1:10" ht="13.5" thickBot="1">
      <c r="A73" s="481"/>
      <c r="B73" s="474"/>
      <c r="C73" s="474"/>
      <c r="D73" s="474"/>
      <c r="E73" s="474"/>
      <c r="F73" s="474"/>
      <c r="G73" s="482"/>
      <c r="H73" s="482"/>
      <c r="I73" s="436"/>
      <c r="J73" s="436"/>
    </row>
    <row r="74" spans="1:10" ht="13.5" thickBot="1">
      <c r="A74" s="436"/>
      <c r="B74" s="436"/>
      <c r="C74" s="436"/>
      <c r="D74" s="436"/>
      <c r="E74" s="436"/>
      <c r="F74" s="436"/>
      <c r="G74" s="437" t="s">
        <v>86</v>
      </c>
      <c r="H74" s="466">
        <f>SUM(G69:G73)</f>
        <v>22385</v>
      </c>
      <c r="I74" s="541"/>
      <c r="J74" s="541"/>
    </row>
    <row r="75" spans="1:10" ht="13.5" thickBot="1">
      <c r="A75" s="436"/>
      <c r="B75" s="436"/>
      <c r="C75" s="436"/>
      <c r="D75" s="436"/>
      <c r="E75" s="436"/>
      <c r="F75" s="436"/>
      <c r="G75" s="483"/>
      <c r="H75" s="436"/>
      <c r="I75" s="436"/>
      <c r="J75" s="436"/>
    </row>
    <row r="76" spans="1:10" ht="13.5" thickBot="1">
      <c r="A76" s="436"/>
      <c r="B76" s="436"/>
      <c r="C76" s="436"/>
      <c r="D76" s="436"/>
      <c r="E76" s="484" t="s">
        <v>102</v>
      </c>
      <c r="F76" s="485"/>
      <c r="G76" s="485"/>
      <c r="H76" s="466">
        <f>H52+H61+H66+H74</f>
        <v>57951.368421052633</v>
      </c>
      <c r="I76" s="541"/>
      <c r="J76" s="541"/>
    </row>
    <row r="77" spans="1:10">
      <c r="A77" s="456"/>
      <c r="B77" s="456"/>
      <c r="C77" s="436"/>
      <c r="D77" s="456"/>
      <c r="E77" s="456"/>
      <c r="F77" s="456"/>
      <c r="G77" s="456"/>
      <c r="H77" s="436"/>
      <c r="I77" s="436"/>
      <c r="J77" s="436"/>
    </row>
    <row r="78" spans="1:10" ht="13.5" thickBot="1"/>
    <row r="79" spans="1:10" ht="15" customHeight="1">
      <c r="A79" s="1348" t="s">
        <v>213</v>
      </c>
      <c r="B79" s="1349"/>
      <c r="C79" s="1350"/>
      <c r="D79" s="448"/>
      <c r="E79" s="448"/>
      <c r="F79" s="448"/>
      <c r="G79" s="448"/>
      <c r="H79" s="449"/>
    </row>
    <row r="80" spans="1:10" ht="15" customHeight="1">
      <c r="A80" s="1351"/>
      <c r="B80" s="1352"/>
      <c r="C80" s="1353"/>
      <c r="D80" s="436"/>
      <c r="E80" s="450" t="s">
        <v>78</v>
      </c>
      <c r="F80" s="436"/>
      <c r="G80" s="436"/>
      <c r="H80" s="451"/>
      <c r="I80" s="436"/>
      <c r="J80" s="436"/>
    </row>
    <row r="81" spans="1:11" ht="15.75" customHeight="1" thickBot="1">
      <c r="A81" s="1354"/>
      <c r="B81" s="1355"/>
      <c r="C81" s="1356"/>
      <c r="D81" s="1360"/>
      <c r="E81" s="1361"/>
      <c r="F81" s="1361"/>
      <c r="G81" s="1361"/>
      <c r="H81" s="1362"/>
      <c r="I81" s="483"/>
      <c r="J81" s="483"/>
    </row>
    <row r="82" spans="1:11">
      <c r="A82" s="455"/>
      <c r="B82" s="436"/>
      <c r="C82" s="436"/>
      <c r="D82" s="436"/>
      <c r="E82" s="436"/>
      <c r="F82" s="436"/>
      <c r="G82" s="436"/>
      <c r="H82" s="436"/>
      <c r="I82" s="436"/>
      <c r="J82" s="436"/>
    </row>
    <row r="83" spans="1:11">
      <c r="A83" s="455" t="s">
        <v>547</v>
      </c>
      <c r="B83" s="456"/>
      <c r="C83" s="436"/>
      <c r="E83" s="456"/>
      <c r="G83" s="456" t="s">
        <v>1123</v>
      </c>
      <c r="H83" s="483" t="s">
        <v>1256</v>
      </c>
      <c r="I83" s="436"/>
      <c r="J83" s="436"/>
    </row>
    <row r="84" spans="1:11" s="931" customFormat="1" ht="52.15" customHeight="1">
      <c r="A84" s="928" t="s">
        <v>1122</v>
      </c>
      <c r="B84" s="1375" t="str">
        <f>VLOOKUP(H83,PRESUPUESTO!$A$18:$F$251,2,FALSE)</f>
        <v>CARGUE MANUAL O MECÁNICO, TRANSPORTE Y BOTADA de material proveniente de las explanaciones y excavaciones. Incluye cargue con paleros y derecho de botadero. Se debe hacer en botaderos oficiales autorizados por la entidad competente o hasta el sitio que indique la interventoría. Su medida será en sitio.</v>
      </c>
      <c r="C84" s="1375"/>
      <c r="D84" s="1375"/>
      <c r="E84" s="1375"/>
      <c r="F84" s="1375"/>
      <c r="G84" s="929" t="s">
        <v>9</v>
      </c>
      <c r="H84" s="1024" t="str">
        <f>VLOOKUP(H83,PRESUPUESTO!$A$18:$F$251,3,FALSE)</f>
        <v>m3</v>
      </c>
    </row>
    <row r="85" spans="1:11">
      <c r="A85" s="456"/>
      <c r="B85" s="456"/>
      <c r="C85" s="436"/>
      <c r="D85" s="456"/>
      <c r="E85" s="456"/>
      <c r="F85" s="456"/>
      <c r="G85" s="456"/>
      <c r="H85" s="436"/>
      <c r="I85" s="436"/>
      <c r="J85" s="436"/>
    </row>
    <row r="86" spans="1:11" ht="13.5" thickBot="1">
      <c r="A86" s="450" t="s">
        <v>79</v>
      </c>
      <c r="B86" s="450"/>
      <c r="C86" s="436"/>
      <c r="D86" s="436"/>
      <c r="E86" s="436"/>
      <c r="F86" s="436"/>
      <c r="G86" s="436"/>
      <c r="H86" s="436"/>
      <c r="I86" s="436"/>
      <c r="J86" s="436"/>
    </row>
    <row r="87" spans="1:11">
      <c r="A87" s="1345" t="s">
        <v>80</v>
      </c>
      <c r="B87" s="1346"/>
      <c r="C87" s="1347"/>
      <c r="D87" s="438" t="s">
        <v>81</v>
      </c>
      <c r="E87" s="438" t="s">
        <v>82</v>
      </c>
      <c r="F87" s="438" t="s">
        <v>83</v>
      </c>
      <c r="G87" s="439" t="s">
        <v>84</v>
      </c>
      <c r="H87" s="457"/>
      <c r="I87" s="436"/>
      <c r="J87" s="436"/>
      <c r="K87" s="548"/>
    </row>
    <row r="88" spans="1:11">
      <c r="A88" s="1357" t="s">
        <v>85</v>
      </c>
      <c r="B88" s="1358"/>
      <c r="C88" s="1359"/>
      <c r="D88" s="459"/>
      <c r="E88" s="440"/>
      <c r="F88" s="440"/>
      <c r="G88" s="432">
        <f>ROUND(H113*0.05,0)</f>
        <v>79</v>
      </c>
      <c r="H88" s="460"/>
      <c r="I88" s="436"/>
      <c r="J88" s="436"/>
    </row>
    <row r="89" spans="1:11" customFormat="1" ht="15">
      <c r="A89" s="1357" t="s">
        <v>625</v>
      </c>
      <c r="B89" s="1358"/>
      <c r="C89" s="1359"/>
      <c r="D89" s="461" t="s">
        <v>626</v>
      </c>
      <c r="E89" s="462">
        <f>110000*1.19</f>
        <v>130900</v>
      </c>
      <c r="F89" s="497">
        <v>18</v>
      </c>
      <c r="G89" s="432">
        <f>E89/F89</f>
        <v>7272.2222222222226</v>
      </c>
      <c r="H89" s="460"/>
    </row>
    <row r="90" spans="1:11" ht="13.5" thickBot="1">
      <c r="A90" s="1342"/>
      <c r="B90" s="1343"/>
      <c r="C90" s="1344"/>
      <c r="D90" s="464"/>
      <c r="E90" s="433"/>
      <c r="F90" s="434"/>
      <c r="G90" s="435"/>
      <c r="H90" s="465"/>
      <c r="I90" s="436"/>
      <c r="J90" s="436"/>
    </row>
    <row r="91" spans="1:11" ht="13.5" thickBot="1">
      <c r="A91" s="436"/>
      <c r="B91" s="436"/>
      <c r="C91" s="436"/>
      <c r="D91" s="436"/>
      <c r="E91" s="436"/>
      <c r="F91" s="436"/>
      <c r="G91" s="437" t="s">
        <v>86</v>
      </c>
      <c r="H91" s="466">
        <f>SUM(G88:G90)</f>
        <v>7351.2222222222226</v>
      </c>
      <c r="I91" s="541"/>
      <c r="J91" s="541"/>
    </row>
    <row r="92" spans="1:11" ht="13.5" thickBot="1">
      <c r="A92" s="450" t="s">
        <v>87</v>
      </c>
      <c r="B92" s="450"/>
      <c r="C92" s="436"/>
      <c r="D92" s="436"/>
      <c r="E92" s="436"/>
      <c r="F92" s="436"/>
      <c r="G92" s="436"/>
      <c r="H92" s="436"/>
      <c r="I92" s="436"/>
      <c r="J92" s="436"/>
    </row>
    <row r="93" spans="1:11">
      <c r="A93" s="1345" t="s">
        <v>80</v>
      </c>
      <c r="B93" s="1346"/>
      <c r="C93" s="1347"/>
      <c r="D93" s="438" t="s">
        <v>88</v>
      </c>
      <c r="E93" s="438" t="s">
        <v>89</v>
      </c>
      <c r="F93" s="438" t="s">
        <v>90</v>
      </c>
      <c r="G93" s="439" t="s">
        <v>84</v>
      </c>
      <c r="H93" s="457"/>
      <c r="I93" s="436"/>
      <c r="J93" s="436"/>
    </row>
    <row r="94" spans="1:11">
      <c r="A94" s="469"/>
      <c r="B94" s="467"/>
      <c r="C94" s="468"/>
      <c r="D94" s="459"/>
      <c r="E94" s="430"/>
      <c r="F94" s="431"/>
      <c r="G94" s="432">
        <f t="shared" ref="G94:G96" si="2">SUM(G91:G93)*C94</f>
        <v>0</v>
      </c>
      <c r="H94" s="460"/>
      <c r="I94" s="436"/>
    </row>
    <row r="95" spans="1:11">
      <c r="A95" s="469"/>
      <c r="B95" s="467"/>
      <c r="C95" s="468"/>
      <c r="D95" s="459"/>
      <c r="E95" s="430"/>
      <c r="F95" s="431"/>
      <c r="G95" s="432">
        <f t="shared" si="2"/>
        <v>0</v>
      </c>
      <c r="H95" s="460"/>
      <c r="I95" s="436"/>
      <c r="J95" s="436"/>
    </row>
    <row r="96" spans="1:11">
      <c r="A96" s="469"/>
      <c r="B96" s="467"/>
      <c r="C96" s="468"/>
      <c r="D96" s="459"/>
      <c r="E96" s="430"/>
      <c r="F96" s="431"/>
      <c r="G96" s="432">
        <f t="shared" si="2"/>
        <v>0</v>
      </c>
      <c r="H96" s="460"/>
      <c r="I96" s="436"/>
      <c r="J96" s="436"/>
    </row>
    <row r="97" spans="1:10">
      <c r="A97" s="469"/>
      <c r="B97" s="467"/>
      <c r="C97" s="468"/>
      <c r="D97" s="459"/>
      <c r="E97" s="430"/>
      <c r="F97" s="431"/>
      <c r="G97" s="432">
        <f>SUM(G94:G96)*C97</f>
        <v>0</v>
      </c>
      <c r="H97" s="460"/>
      <c r="I97" s="436"/>
      <c r="J97" s="436"/>
    </row>
    <row r="98" spans="1:10">
      <c r="A98" s="469"/>
      <c r="B98" s="467"/>
      <c r="C98" s="468"/>
      <c r="D98" s="459"/>
      <c r="E98" s="430"/>
      <c r="F98" s="431"/>
      <c r="G98" s="432"/>
      <c r="H98" s="460"/>
      <c r="I98" s="436"/>
      <c r="J98" s="436"/>
    </row>
    <row r="99" spans="1:10" ht="13.5" thickBot="1">
      <c r="A99" s="472"/>
      <c r="B99" s="473"/>
      <c r="C99" s="474"/>
      <c r="D99" s="464"/>
      <c r="E99" s="433"/>
      <c r="F99" s="434"/>
      <c r="G99" s="435"/>
      <c r="H99" s="465"/>
      <c r="I99" s="436"/>
      <c r="J99" s="436"/>
    </row>
    <row r="100" spans="1:10" ht="13.5" thickBot="1">
      <c r="A100" s="436"/>
      <c r="B100" s="436"/>
      <c r="C100" s="436"/>
      <c r="D100" s="436"/>
      <c r="E100" s="436"/>
      <c r="F100" s="436"/>
      <c r="G100" s="437" t="s">
        <v>86</v>
      </c>
      <c r="H100" s="466">
        <f>SUM(G94:G99)</f>
        <v>0</v>
      </c>
      <c r="I100" s="541"/>
      <c r="J100" s="541"/>
    </row>
    <row r="101" spans="1:10" ht="13.5" thickBot="1">
      <c r="A101" s="450" t="s">
        <v>94</v>
      </c>
      <c r="B101" s="450"/>
      <c r="C101" s="436"/>
      <c r="D101" s="436"/>
      <c r="E101" s="436"/>
      <c r="F101" s="436"/>
      <c r="G101" s="436"/>
      <c r="H101" s="436"/>
      <c r="I101" s="436"/>
      <c r="J101" s="436"/>
    </row>
    <row r="102" spans="1:10">
      <c r="A102" s="1345" t="s">
        <v>95</v>
      </c>
      <c r="B102" s="1346"/>
      <c r="C102" s="1347"/>
      <c r="D102" s="438" t="s">
        <v>88</v>
      </c>
      <c r="E102" s="438" t="s">
        <v>89</v>
      </c>
      <c r="F102" s="438" t="s">
        <v>90</v>
      </c>
      <c r="G102" s="439" t="s">
        <v>84</v>
      </c>
      <c r="H102" s="457"/>
      <c r="I102" s="436"/>
      <c r="J102" s="436"/>
    </row>
    <row r="103" spans="1:10" customFormat="1" ht="15">
      <c r="A103" s="538" t="s">
        <v>631</v>
      </c>
      <c r="B103" s="539"/>
      <c r="C103" s="694">
        <v>1.3</v>
      </c>
      <c r="D103" s="525"/>
      <c r="E103" s="540"/>
      <c r="F103" s="693">
        <v>35000</v>
      </c>
      <c r="G103" s="528">
        <f>+F103*C103</f>
        <v>45500</v>
      </c>
      <c r="H103" s="529"/>
    </row>
    <row r="104" spans="1:10" ht="13.5" thickBot="1">
      <c r="A104" s="1342"/>
      <c r="B104" s="1343"/>
      <c r="C104" s="1344"/>
      <c r="D104" s="475"/>
      <c r="E104" s="433"/>
      <c r="F104" s="434"/>
      <c r="G104" s="441">
        <f>+F104*E104</f>
        <v>0</v>
      </c>
      <c r="H104" s="460"/>
      <c r="I104" s="436"/>
      <c r="J104" s="436"/>
    </row>
    <row r="105" spans="1:10" ht="13.5" thickBot="1">
      <c r="A105" s="436"/>
      <c r="B105" s="436"/>
      <c r="C105" s="436"/>
      <c r="D105" s="436"/>
      <c r="E105" s="436"/>
      <c r="F105" s="436"/>
      <c r="G105" s="437" t="s">
        <v>86</v>
      </c>
      <c r="H105" s="466">
        <f>SUM(G103:G104)</f>
        <v>45500</v>
      </c>
      <c r="I105" s="541"/>
      <c r="J105" s="541"/>
    </row>
    <row r="106" spans="1:10" ht="13.5" thickBot="1">
      <c r="A106" s="450" t="s">
        <v>96</v>
      </c>
      <c r="B106" s="450"/>
      <c r="C106" s="436"/>
      <c r="D106" s="436"/>
      <c r="E106" s="436"/>
      <c r="F106" s="436"/>
      <c r="G106" s="436"/>
      <c r="H106" s="436"/>
      <c r="I106" s="436"/>
      <c r="J106" s="436"/>
    </row>
    <row r="107" spans="1:10">
      <c r="A107" s="476" t="s">
        <v>97</v>
      </c>
      <c r="B107" s="438"/>
      <c r="C107" s="438" t="s">
        <v>98</v>
      </c>
      <c r="D107" s="438" t="s">
        <v>99</v>
      </c>
      <c r="E107" s="442" t="s">
        <v>100</v>
      </c>
      <c r="F107" s="443" t="s">
        <v>83</v>
      </c>
      <c r="G107" s="444" t="s">
        <v>84</v>
      </c>
      <c r="H107" s="477"/>
      <c r="I107" s="436"/>
      <c r="J107" s="436"/>
    </row>
    <row r="108" spans="1:10">
      <c r="A108" s="478" t="s">
        <v>227</v>
      </c>
      <c r="B108" s="468">
        <v>1</v>
      </c>
      <c r="C108" s="479">
        <f>PERSONAL!$E$31</f>
        <v>48800</v>
      </c>
      <c r="D108" s="480">
        <f>PERSONAL!$F$31</f>
        <v>1.7431000000000001</v>
      </c>
      <c r="E108" s="440">
        <f>+D108*C108*B108</f>
        <v>85063.28</v>
      </c>
      <c r="F108" s="440">
        <f>+F89*3</f>
        <v>54</v>
      </c>
      <c r="G108" s="445">
        <f>ROUND(E108/F108,0)</f>
        <v>1575</v>
      </c>
      <c r="H108" s="451"/>
      <c r="I108" s="436"/>
      <c r="J108" s="436"/>
    </row>
    <row r="109" spans="1:10">
      <c r="A109" s="478"/>
      <c r="B109" s="468"/>
      <c r="C109" s="430"/>
      <c r="D109" s="459"/>
      <c r="E109" s="430"/>
      <c r="F109" s="440"/>
      <c r="G109" s="445"/>
      <c r="H109" s="451"/>
      <c r="I109" s="436"/>
      <c r="J109" s="436"/>
    </row>
    <row r="110" spans="1:10">
      <c r="A110" s="478"/>
      <c r="B110" s="468"/>
      <c r="C110" s="430"/>
      <c r="D110" s="459"/>
      <c r="E110" s="430"/>
      <c r="F110" s="440"/>
      <c r="G110" s="445"/>
      <c r="H110" s="451"/>
      <c r="I110" s="436"/>
      <c r="J110" s="436"/>
    </row>
    <row r="111" spans="1:10">
      <c r="A111" s="478"/>
      <c r="B111" s="468"/>
      <c r="C111" s="430"/>
      <c r="D111" s="459"/>
      <c r="E111" s="430"/>
      <c r="F111" s="440"/>
      <c r="G111" s="445"/>
      <c r="H111" s="451"/>
      <c r="I111" s="436"/>
      <c r="J111" s="436"/>
    </row>
    <row r="112" spans="1:10" ht="13.5" thickBot="1">
      <c r="A112" s="481"/>
      <c r="B112" s="474"/>
      <c r="C112" s="474"/>
      <c r="D112" s="474"/>
      <c r="E112" s="474"/>
      <c r="F112" s="474"/>
      <c r="G112" s="482"/>
      <c r="H112" s="482"/>
      <c r="I112" s="436"/>
      <c r="J112" s="436"/>
    </row>
    <row r="113" spans="1:11" ht="13.5" thickBot="1">
      <c r="A113" s="436"/>
      <c r="B113" s="436"/>
      <c r="C113" s="436"/>
      <c r="D113" s="436"/>
      <c r="E113" s="436"/>
      <c r="F113" s="436"/>
      <c r="G113" s="437" t="s">
        <v>86</v>
      </c>
      <c r="H113" s="466">
        <f>SUM(G108:G112)</f>
        <v>1575</v>
      </c>
      <c r="I113" s="541"/>
      <c r="J113" s="541"/>
    </row>
    <row r="114" spans="1:11" ht="13.5" thickBot="1">
      <c r="A114" s="436"/>
      <c r="B114" s="436"/>
      <c r="C114" s="436"/>
      <c r="D114" s="436"/>
      <c r="E114" s="436"/>
      <c r="F114" s="436"/>
      <c r="G114" s="483"/>
      <c r="H114" s="436"/>
      <c r="I114" s="436"/>
      <c r="J114" s="436"/>
    </row>
    <row r="115" spans="1:11" ht="13.5" thickBot="1">
      <c r="A115" s="436"/>
      <c r="B115" s="436"/>
      <c r="C115" s="436"/>
      <c r="D115" s="436"/>
      <c r="E115" s="484" t="s">
        <v>102</v>
      </c>
      <c r="F115" s="485"/>
      <c r="G115" s="485"/>
      <c r="H115" s="466">
        <f>H91+H100+H105+H113</f>
        <v>54426.222222222219</v>
      </c>
      <c r="I115" s="541"/>
      <c r="J115" s="541"/>
    </row>
    <row r="116" spans="1:11">
      <c r="A116" s="456"/>
      <c r="B116" s="456"/>
      <c r="C116" s="436"/>
      <c r="D116" s="456"/>
      <c r="E116" s="456"/>
      <c r="F116" s="456"/>
      <c r="G116" s="456"/>
      <c r="H116" s="436"/>
      <c r="I116" s="436"/>
      <c r="J116" s="436"/>
    </row>
    <row r="117" spans="1:11" ht="13.5" thickBot="1"/>
    <row r="118" spans="1:11" ht="15" customHeight="1">
      <c r="A118" s="1348" t="s">
        <v>213</v>
      </c>
      <c r="B118" s="1349"/>
      <c r="C118" s="1350"/>
      <c r="D118" s="448"/>
      <c r="E118" s="448"/>
      <c r="F118" s="448"/>
      <c r="G118" s="448"/>
      <c r="H118" s="449"/>
    </row>
    <row r="119" spans="1:11" ht="15" customHeight="1">
      <c r="A119" s="1351"/>
      <c r="B119" s="1352"/>
      <c r="C119" s="1353"/>
      <c r="D119" s="436"/>
      <c r="E119" s="450" t="s">
        <v>78</v>
      </c>
      <c r="F119" s="436"/>
      <c r="G119" s="436"/>
      <c r="H119" s="451"/>
      <c r="I119" s="436"/>
      <c r="J119" s="436"/>
    </row>
    <row r="120" spans="1:11" ht="15.75" customHeight="1" thickBot="1">
      <c r="A120" s="1354"/>
      <c r="B120" s="1355"/>
      <c r="C120" s="1356"/>
      <c r="D120" s="1360"/>
      <c r="E120" s="1361"/>
      <c r="F120" s="1361"/>
      <c r="G120" s="1361"/>
      <c r="H120" s="1362"/>
      <c r="I120" s="483"/>
      <c r="J120" s="483"/>
    </row>
    <row r="121" spans="1:11">
      <c r="A121" s="455"/>
      <c r="B121" s="436"/>
      <c r="C121" s="436"/>
      <c r="D121" s="436"/>
      <c r="E121" s="436"/>
      <c r="F121" s="436"/>
      <c r="G121" s="436"/>
      <c r="H121" s="436"/>
      <c r="I121" s="436"/>
      <c r="J121" s="436"/>
    </row>
    <row r="122" spans="1:11">
      <c r="A122" s="455" t="s">
        <v>547</v>
      </c>
      <c r="B122" s="456"/>
      <c r="C122" s="436"/>
      <c r="E122" s="456"/>
      <c r="G122" s="456" t="s">
        <v>1123</v>
      </c>
      <c r="H122" s="483" t="s">
        <v>1209</v>
      </c>
      <c r="I122" s="436"/>
      <c r="J122" s="436"/>
    </row>
    <row r="123" spans="1:11" s="931" customFormat="1" ht="52.15" customHeight="1">
      <c r="A123" s="928" t="s">
        <v>1122</v>
      </c>
      <c r="B123" s="1374" t="str">
        <f>VLOOKUP(H122,PRESUPUESTO!$A$18:$F$251,2,FALSE)</f>
        <v>Suministro, transporte y colocación de TRITURADO de 3/4 " para construcción de CIMENTACIÓN. Incluye transporte externo y colocación</v>
      </c>
      <c r="C123" s="1374"/>
      <c r="D123" s="1374"/>
      <c r="E123" s="1374"/>
      <c r="F123" s="1374"/>
      <c r="G123" s="929" t="s">
        <v>9</v>
      </c>
      <c r="H123" s="1024" t="str">
        <f>VLOOKUP(H122,PRESUPUESTO!$A$18:$F$251,3,FALSE)</f>
        <v>m3</v>
      </c>
    </row>
    <row r="124" spans="1:11">
      <c r="A124" s="456"/>
      <c r="B124" s="456"/>
      <c r="C124" s="436"/>
      <c r="D124" s="456"/>
      <c r="E124" s="456"/>
      <c r="F124" s="456"/>
      <c r="G124" s="456"/>
      <c r="H124" s="436"/>
      <c r="I124" s="436"/>
      <c r="J124" s="436"/>
    </row>
    <row r="125" spans="1:11" ht="13.5" thickBot="1">
      <c r="A125" s="450" t="s">
        <v>79</v>
      </c>
      <c r="B125" s="450"/>
      <c r="C125" s="436"/>
      <c r="D125" s="436"/>
      <c r="E125" s="436"/>
      <c r="F125" s="436"/>
      <c r="G125" s="436"/>
      <c r="H125" s="436"/>
      <c r="I125" s="436"/>
      <c r="J125" s="436"/>
    </row>
    <row r="126" spans="1:11">
      <c r="A126" s="1345" t="s">
        <v>80</v>
      </c>
      <c r="B126" s="1346"/>
      <c r="C126" s="1347"/>
      <c r="D126" s="438" t="s">
        <v>81</v>
      </c>
      <c r="E126" s="438" t="s">
        <v>82</v>
      </c>
      <c r="F126" s="438" t="s">
        <v>83</v>
      </c>
      <c r="G126" s="439" t="s">
        <v>84</v>
      </c>
      <c r="H126" s="457"/>
      <c r="I126" s="436"/>
      <c r="J126" s="436"/>
      <c r="K126" s="548"/>
    </row>
    <row r="127" spans="1:11">
      <c r="A127" s="1357" t="s">
        <v>85</v>
      </c>
      <c r="B127" s="1358"/>
      <c r="C127" s="1359"/>
      <c r="D127" s="459"/>
      <c r="E127" s="440"/>
      <c r="F127" s="440"/>
      <c r="G127" s="432">
        <f>ROUND(H152*0.05,0)</f>
        <v>1976</v>
      </c>
      <c r="H127" s="460"/>
      <c r="I127" s="436"/>
      <c r="J127" s="436"/>
    </row>
    <row r="128" spans="1:11" customFormat="1" ht="15">
      <c r="A128" s="1357"/>
      <c r="B128" s="1358"/>
      <c r="C128" s="1359"/>
      <c r="D128" s="461"/>
      <c r="E128" s="462"/>
      <c r="F128" s="497"/>
      <c r="G128" s="432"/>
      <c r="H128" s="460"/>
    </row>
    <row r="129" spans="1:10" ht="13.5" thickBot="1">
      <c r="A129" s="1342"/>
      <c r="B129" s="1343"/>
      <c r="C129" s="1344"/>
      <c r="D129" s="464"/>
      <c r="E129" s="433"/>
      <c r="F129" s="434"/>
      <c r="G129" s="435"/>
      <c r="H129" s="465"/>
      <c r="I129" s="436"/>
      <c r="J129" s="436"/>
    </row>
    <row r="130" spans="1:10" ht="13.5" thickBot="1">
      <c r="A130" s="436"/>
      <c r="B130" s="436"/>
      <c r="C130" s="436"/>
      <c r="D130" s="436"/>
      <c r="E130" s="436"/>
      <c r="F130" s="436"/>
      <c r="G130" s="437" t="s">
        <v>86</v>
      </c>
      <c r="H130" s="466">
        <f>SUM(G127:G129)</f>
        <v>1976</v>
      </c>
      <c r="I130" s="541"/>
      <c r="J130" s="541"/>
    </row>
    <row r="131" spans="1:10" ht="13.5" thickBot="1">
      <c r="A131" s="450" t="s">
        <v>87</v>
      </c>
      <c r="B131" s="450"/>
      <c r="C131" s="436"/>
      <c r="D131" s="436"/>
      <c r="E131" s="436"/>
      <c r="F131" s="436"/>
      <c r="G131" s="436"/>
      <c r="H131" s="436"/>
      <c r="I131" s="436"/>
      <c r="J131" s="436"/>
    </row>
    <row r="132" spans="1:10">
      <c r="A132" s="1345" t="s">
        <v>80</v>
      </c>
      <c r="B132" s="1346"/>
      <c r="C132" s="1347"/>
      <c r="D132" s="438" t="s">
        <v>88</v>
      </c>
      <c r="E132" s="438" t="s">
        <v>89</v>
      </c>
      <c r="F132" s="438" t="s">
        <v>90</v>
      </c>
      <c r="G132" s="439" t="s">
        <v>84</v>
      </c>
      <c r="H132" s="457"/>
      <c r="I132" s="436"/>
      <c r="J132" s="436"/>
    </row>
    <row r="133" spans="1:10">
      <c r="A133" s="469" t="s">
        <v>1138</v>
      </c>
      <c r="B133" s="467"/>
      <c r="C133" s="468"/>
      <c r="D133" s="459" t="s">
        <v>118</v>
      </c>
      <c r="E133" s="430">
        <f>+MATERIALES!$C$15</f>
        <v>108727.92</v>
      </c>
      <c r="F133" s="431">
        <v>1.2</v>
      </c>
      <c r="G133" s="432">
        <f>+E133*F133</f>
        <v>130473.50399999999</v>
      </c>
      <c r="H133" s="460"/>
      <c r="I133" s="436"/>
    </row>
    <row r="134" spans="1:10">
      <c r="A134" s="469"/>
      <c r="B134" s="467"/>
      <c r="C134" s="468"/>
      <c r="D134" s="459"/>
      <c r="E134" s="430"/>
      <c r="F134" s="431"/>
      <c r="G134" s="432">
        <f t="shared" ref="G134:G135" si="3">SUM(G131:G133)*C134</f>
        <v>0</v>
      </c>
      <c r="H134" s="460"/>
      <c r="I134" s="436"/>
      <c r="J134" s="436"/>
    </row>
    <row r="135" spans="1:10">
      <c r="A135" s="469"/>
      <c r="B135" s="467"/>
      <c r="C135" s="468"/>
      <c r="D135" s="459"/>
      <c r="E135" s="430"/>
      <c r="F135" s="431"/>
      <c r="G135" s="432">
        <f t="shared" si="3"/>
        <v>0</v>
      </c>
      <c r="H135" s="460"/>
      <c r="I135" s="436"/>
      <c r="J135" s="436"/>
    </row>
    <row r="136" spans="1:10">
      <c r="A136" s="469"/>
      <c r="B136" s="467"/>
      <c r="C136" s="468"/>
      <c r="D136" s="459"/>
      <c r="E136" s="430"/>
      <c r="F136" s="431"/>
      <c r="G136" s="432">
        <f>SUM(G133:G135)*C136</f>
        <v>0</v>
      </c>
      <c r="H136" s="460"/>
      <c r="I136" s="436"/>
      <c r="J136" s="436"/>
    </row>
    <row r="137" spans="1:10">
      <c r="A137" s="469"/>
      <c r="B137" s="467"/>
      <c r="C137" s="468"/>
      <c r="D137" s="459"/>
      <c r="E137" s="430"/>
      <c r="F137" s="431"/>
      <c r="G137" s="432"/>
      <c r="H137" s="460"/>
      <c r="I137" s="436"/>
      <c r="J137" s="436"/>
    </row>
    <row r="138" spans="1:10" ht="13.5" thickBot="1">
      <c r="A138" s="472"/>
      <c r="B138" s="473"/>
      <c r="C138" s="474"/>
      <c r="D138" s="464"/>
      <c r="E138" s="433"/>
      <c r="F138" s="434"/>
      <c r="G138" s="435"/>
      <c r="H138" s="465"/>
      <c r="I138" s="436"/>
      <c r="J138" s="436"/>
    </row>
    <row r="139" spans="1:10" ht="13.5" thickBot="1">
      <c r="A139" s="436"/>
      <c r="B139" s="436"/>
      <c r="C139" s="436"/>
      <c r="D139" s="436"/>
      <c r="E139" s="436"/>
      <c r="F139" s="436"/>
      <c r="G139" s="437" t="s">
        <v>86</v>
      </c>
      <c r="H139" s="466">
        <f>SUM(G133:G138)</f>
        <v>130473.50399999999</v>
      </c>
      <c r="I139" s="541"/>
      <c r="J139" s="541"/>
    </row>
    <row r="140" spans="1:10" ht="13.5" thickBot="1">
      <c r="A140" s="450" t="s">
        <v>94</v>
      </c>
      <c r="B140" s="450"/>
      <c r="C140" s="436"/>
      <c r="D140" s="436"/>
      <c r="E140" s="436"/>
      <c r="F140" s="436"/>
      <c r="G140" s="436"/>
      <c r="H140" s="436"/>
      <c r="I140" s="436"/>
      <c r="J140" s="436"/>
    </row>
    <row r="141" spans="1:10">
      <c r="A141" s="1345" t="s">
        <v>95</v>
      </c>
      <c r="B141" s="1346"/>
      <c r="C141" s="1347"/>
      <c r="D141" s="438" t="s">
        <v>88</v>
      </c>
      <c r="E141" s="438" t="s">
        <v>89</v>
      </c>
      <c r="F141" s="438" t="s">
        <v>90</v>
      </c>
      <c r="G141" s="439" t="s">
        <v>84</v>
      </c>
      <c r="H141" s="457"/>
      <c r="I141" s="436"/>
      <c r="J141" s="436"/>
    </row>
    <row r="142" spans="1:10" customFormat="1" ht="15.75" thickBot="1">
      <c r="A142" s="1342" t="s">
        <v>666</v>
      </c>
      <c r="B142" s="1343"/>
      <c r="C142" s="1344"/>
      <c r="D142" s="475" t="s">
        <v>91</v>
      </c>
      <c r="E142" s="697">
        <v>35000</v>
      </c>
      <c r="F142" s="434">
        <f>+F133</f>
        <v>1.2</v>
      </c>
      <c r="G142" s="441">
        <f>+E142*F142</f>
        <v>42000</v>
      </c>
      <c r="H142" s="460"/>
    </row>
    <row r="143" spans="1:10" ht="13.5" thickBot="1">
      <c r="A143" s="1342"/>
      <c r="B143" s="1343"/>
      <c r="C143" s="1344"/>
      <c r="D143" s="475"/>
      <c r="E143" s="433"/>
      <c r="F143" s="434"/>
      <c r="G143" s="441">
        <f>+F143*E143</f>
        <v>0</v>
      </c>
      <c r="H143" s="460"/>
      <c r="I143" s="436"/>
      <c r="J143" s="436"/>
    </row>
    <row r="144" spans="1:10" ht="13.5" thickBot="1">
      <c r="A144" s="436"/>
      <c r="B144" s="436"/>
      <c r="C144" s="436"/>
      <c r="D144" s="436"/>
      <c r="E144" s="436"/>
      <c r="F144" s="436"/>
      <c r="G144" s="437" t="s">
        <v>86</v>
      </c>
      <c r="H144" s="466">
        <f>SUM(G142:G143)</f>
        <v>42000</v>
      </c>
      <c r="I144" s="541"/>
      <c r="J144" s="541"/>
    </row>
    <row r="145" spans="1:10" ht="13.5" thickBot="1">
      <c r="A145" s="450" t="s">
        <v>96</v>
      </c>
      <c r="B145" s="450"/>
      <c r="C145" s="436"/>
      <c r="D145" s="436"/>
      <c r="E145" s="436"/>
      <c r="F145" s="436"/>
      <c r="G145" s="436"/>
      <c r="H145" s="436"/>
      <c r="I145" s="436"/>
      <c r="J145" s="436"/>
    </row>
    <row r="146" spans="1:10">
      <c r="A146" s="476" t="s">
        <v>97</v>
      </c>
      <c r="B146" s="438"/>
      <c r="C146" s="438" t="s">
        <v>98</v>
      </c>
      <c r="D146" s="438" t="s">
        <v>99</v>
      </c>
      <c r="E146" s="442" t="s">
        <v>100</v>
      </c>
      <c r="F146" s="443" t="s">
        <v>83</v>
      </c>
      <c r="G146" s="444" t="s">
        <v>84</v>
      </c>
      <c r="H146" s="477"/>
      <c r="I146" s="436"/>
      <c r="J146" s="436"/>
    </row>
    <row r="147" spans="1:10">
      <c r="A147" s="478" t="s">
        <v>227</v>
      </c>
      <c r="B147" s="468">
        <v>1</v>
      </c>
      <c r="C147" s="479">
        <f>PERSONAL!$E$31</f>
        <v>48800</v>
      </c>
      <c r="D147" s="480">
        <f>PERSONAL!$F$31</f>
        <v>1.7431000000000001</v>
      </c>
      <c r="E147" s="440">
        <f>+D147*C147*B147</f>
        <v>85063.28</v>
      </c>
      <c r="F147" s="440">
        <v>6</v>
      </c>
      <c r="G147" s="445">
        <f>ROUND(E147/F147,0)</f>
        <v>14177</v>
      </c>
      <c r="H147" s="451"/>
      <c r="I147" s="436"/>
      <c r="J147" s="436"/>
    </row>
    <row r="148" spans="1:10" customFormat="1" ht="15">
      <c r="A148" s="478" t="s">
        <v>101</v>
      </c>
      <c r="B148" s="467">
        <v>1</v>
      </c>
      <c r="C148" s="479">
        <f>PERSONAL!$E$32</f>
        <v>87200</v>
      </c>
      <c r="D148" s="480">
        <f>PERSONAL!$F$31</f>
        <v>1.7431000000000001</v>
      </c>
      <c r="E148" s="440">
        <f>+D148*C148*B148</f>
        <v>151998.32</v>
      </c>
      <c r="F148" s="440">
        <f>+F147</f>
        <v>6</v>
      </c>
      <c r="G148" s="445">
        <f>ROUND(E148/F148,0)</f>
        <v>25333</v>
      </c>
      <c r="H148" s="451"/>
    </row>
    <row r="149" spans="1:10">
      <c r="A149" s="478"/>
      <c r="B149" s="468"/>
      <c r="C149" s="430"/>
      <c r="D149" s="459"/>
      <c r="E149" s="430"/>
      <c r="F149" s="440"/>
      <c r="G149" s="445"/>
      <c r="H149" s="451"/>
      <c r="I149" s="436"/>
      <c r="J149" s="436"/>
    </row>
    <row r="150" spans="1:10">
      <c r="A150" s="478"/>
      <c r="B150" s="468"/>
      <c r="C150" s="430"/>
      <c r="D150" s="459"/>
      <c r="E150" s="430"/>
      <c r="F150" s="440"/>
      <c r="G150" s="445"/>
      <c r="H150" s="451"/>
      <c r="I150" s="436"/>
      <c r="J150" s="436"/>
    </row>
    <row r="151" spans="1:10" ht="13.5" thickBot="1">
      <c r="A151" s="481"/>
      <c r="B151" s="474"/>
      <c r="C151" s="474"/>
      <c r="D151" s="474"/>
      <c r="E151" s="474"/>
      <c r="F151" s="474"/>
      <c r="G151" s="482"/>
      <c r="H151" s="482"/>
      <c r="I151" s="436"/>
      <c r="J151" s="436"/>
    </row>
    <row r="152" spans="1:10" ht="13.5" thickBot="1">
      <c r="A152" s="436"/>
      <c r="B152" s="436"/>
      <c r="C152" s="436"/>
      <c r="D152" s="436"/>
      <c r="E152" s="436"/>
      <c r="F152" s="436"/>
      <c r="G152" s="437" t="s">
        <v>86</v>
      </c>
      <c r="H152" s="466">
        <f>SUM(G147:G151)</f>
        <v>39510</v>
      </c>
      <c r="I152" s="1026">
        <f>+H152/H154</f>
        <v>0.18466111231964719</v>
      </c>
      <c r="J152" s="541"/>
    </row>
    <row r="153" spans="1:10" ht="13.5" thickBot="1">
      <c r="A153" s="436"/>
      <c r="B153" s="436"/>
      <c r="C153" s="436"/>
      <c r="D153" s="436"/>
      <c r="E153" s="436"/>
      <c r="F153" s="436"/>
      <c r="G153" s="483"/>
      <c r="H153" s="436"/>
      <c r="I153" s="436"/>
      <c r="J153" s="436"/>
    </row>
    <row r="154" spans="1:10" ht="13.5" thickBot="1">
      <c r="A154" s="436"/>
      <c r="B154" s="436"/>
      <c r="C154" s="436"/>
      <c r="D154" s="436"/>
      <c r="E154" s="484" t="s">
        <v>102</v>
      </c>
      <c r="F154" s="485"/>
      <c r="G154" s="485"/>
      <c r="H154" s="466">
        <f>H130+H139+H144+H152</f>
        <v>213959.50399999999</v>
      </c>
      <c r="I154" s="541"/>
      <c r="J154" s="541"/>
    </row>
    <row r="155" spans="1:10">
      <c r="A155" s="456"/>
      <c r="B155" s="456"/>
      <c r="C155" s="436"/>
      <c r="D155" s="456"/>
      <c r="E155" s="456"/>
      <c r="F155" s="456"/>
      <c r="G155" s="456"/>
      <c r="H155" s="436"/>
      <c r="I155" s="436"/>
      <c r="J155" s="436"/>
    </row>
    <row r="156" spans="1:10" ht="13.5" thickBot="1"/>
    <row r="157" spans="1:10" ht="15" customHeight="1">
      <c r="A157" s="1348" t="s">
        <v>213</v>
      </c>
      <c r="B157" s="1349"/>
      <c r="C157" s="1350"/>
      <c r="D157" s="448"/>
      <c r="E157" s="448"/>
      <c r="F157" s="448"/>
      <c r="G157" s="448"/>
      <c r="H157" s="449"/>
    </row>
    <row r="158" spans="1:10" ht="15" customHeight="1">
      <c r="A158" s="1351"/>
      <c r="B158" s="1352"/>
      <c r="C158" s="1353"/>
      <c r="D158" s="436"/>
      <c r="E158" s="450" t="s">
        <v>78</v>
      </c>
      <c r="F158" s="436"/>
      <c r="G158" s="436"/>
      <c r="H158" s="451"/>
      <c r="I158" s="436"/>
      <c r="J158" s="436"/>
    </row>
    <row r="159" spans="1:10" ht="15.75" customHeight="1" thickBot="1">
      <c r="A159" s="1354"/>
      <c r="B159" s="1355"/>
      <c r="C159" s="1356"/>
      <c r="D159" s="1360"/>
      <c r="E159" s="1361"/>
      <c r="F159" s="1361"/>
      <c r="G159" s="1361"/>
      <c r="H159" s="1362"/>
      <c r="I159" s="483"/>
      <c r="J159" s="483"/>
    </row>
    <row r="160" spans="1:10">
      <c r="A160" s="455"/>
      <c r="B160" s="436"/>
      <c r="C160" s="436"/>
      <c r="D160" s="436"/>
      <c r="E160" s="436"/>
      <c r="F160" s="436"/>
      <c r="G160" s="436"/>
      <c r="H160" s="436"/>
      <c r="I160" s="436"/>
      <c r="J160" s="436"/>
    </row>
    <row r="161" spans="1:11">
      <c r="A161" s="455" t="s">
        <v>547</v>
      </c>
      <c r="B161" s="456"/>
      <c r="C161" s="436"/>
      <c r="E161" s="456"/>
      <c r="G161" s="456" t="s">
        <v>1123</v>
      </c>
      <c r="H161" s="483" t="s">
        <v>1210</v>
      </c>
      <c r="I161" s="436"/>
      <c r="J161" s="436"/>
    </row>
    <row r="162" spans="1:11" s="931" customFormat="1" ht="52.15" customHeight="1">
      <c r="A162" s="928" t="s">
        <v>1122</v>
      </c>
      <c r="B162" s="1375" t="str">
        <f>VLOOKUP(H161,PRESUPUESTO!$A$18:$F$251,2,FALSE)</f>
        <v>LLENOS EN ARENILLA, compactados mecánicamente hasta obtener una densidad del 95% de la máxima obtenida en el ensayo del próctor modificado. Incluye el suministro, transporte, colocación de la arenilla, la compactación de la misma. Y su medida será en sitio ya compactado.</v>
      </c>
      <c r="C162" s="1375"/>
      <c r="D162" s="1375"/>
      <c r="E162" s="1375"/>
      <c r="F162" s="1375"/>
      <c r="G162" s="929" t="s">
        <v>9</v>
      </c>
      <c r="H162" s="1024" t="str">
        <f>VLOOKUP(H161,PRESUPUESTO!$A$18:$F$251,3,FALSE)</f>
        <v>m3</v>
      </c>
    </row>
    <row r="163" spans="1:11">
      <c r="A163" s="456"/>
      <c r="B163" s="456"/>
      <c r="C163" s="436"/>
      <c r="D163" s="456"/>
      <c r="E163" s="456"/>
      <c r="F163" s="456"/>
      <c r="G163" s="456"/>
      <c r="H163" s="436"/>
      <c r="I163" s="436"/>
      <c r="J163" s="436"/>
    </row>
    <row r="164" spans="1:11" ht="13.5" thickBot="1">
      <c r="A164" s="450" t="s">
        <v>79</v>
      </c>
      <c r="B164" s="450"/>
      <c r="C164" s="436"/>
      <c r="D164" s="436"/>
      <c r="E164" s="436"/>
      <c r="F164" s="436"/>
      <c r="G164" s="436"/>
      <c r="H164" s="436"/>
      <c r="I164" s="436"/>
      <c r="J164" s="436"/>
    </row>
    <row r="165" spans="1:11">
      <c r="A165" s="1345" t="s">
        <v>80</v>
      </c>
      <c r="B165" s="1346"/>
      <c r="C165" s="1347"/>
      <c r="D165" s="438" t="s">
        <v>81</v>
      </c>
      <c r="E165" s="438" t="s">
        <v>82</v>
      </c>
      <c r="F165" s="438" t="s">
        <v>83</v>
      </c>
      <c r="G165" s="439" t="s">
        <v>84</v>
      </c>
      <c r="H165" s="457"/>
      <c r="I165" s="436"/>
      <c r="J165" s="436"/>
      <c r="K165" s="548"/>
    </row>
    <row r="166" spans="1:11">
      <c r="A166" s="1357" t="s">
        <v>85</v>
      </c>
      <c r="B166" s="1358"/>
      <c r="C166" s="1359"/>
      <c r="D166" s="459"/>
      <c r="E166" s="440"/>
      <c r="F166" s="440"/>
      <c r="G166" s="432">
        <f>ROUND(H191*0.05,0)</f>
        <v>2371</v>
      </c>
      <c r="H166" s="460"/>
      <c r="I166" s="436"/>
      <c r="J166" s="436"/>
    </row>
    <row r="167" spans="1:11" customFormat="1" ht="15">
      <c r="A167" s="1357" t="s">
        <v>1140</v>
      </c>
      <c r="B167" s="1358"/>
      <c r="C167" s="1359"/>
      <c r="D167" s="461" t="s">
        <v>1141</v>
      </c>
      <c r="E167" s="462">
        <v>44030</v>
      </c>
      <c r="F167" s="497">
        <v>0.35</v>
      </c>
      <c r="G167" s="432">
        <f>+E167*F167</f>
        <v>15410.499999999998</v>
      </c>
      <c r="H167" s="460"/>
    </row>
    <row r="168" spans="1:11" ht="13.5" thickBot="1">
      <c r="A168" s="1342"/>
      <c r="B168" s="1343"/>
      <c r="C168" s="1344"/>
      <c r="D168" s="464"/>
      <c r="E168" s="433"/>
      <c r="F168" s="434"/>
      <c r="G168" s="435"/>
      <c r="H168" s="465"/>
      <c r="I168" s="436"/>
      <c r="J168" s="436"/>
    </row>
    <row r="169" spans="1:11" ht="13.5" thickBot="1">
      <c r="A169" s="436"/>
      <c r="B169" s="436"/>
      <c r="C169" s="436"/>
      <c r="D169" s="436"/>
      <c r="E169" s="436"/>
      <c r="F169" s="436"/>
      <c r="G169" s="437" t="s">
        <v>86</v>
      </c>
      <c r="H169" s="466">
        <f>SUM(G166:G168)</f>
        <v>17781.5</v>
      </c>
      <c r="I169" s="541"/>
      <c r="J169" s="541"/>
    </row>
    <row r="170" spans="1:11" ht="13.5" thickBot="1">
      <c r="A170" s="450" t="s">
        <v>87</v>
      </c>
      <c r="B170" s="450"/>
      <c r="C170" s="436"/>
      <c r="D170" s="436"/>
      <c r="E170" s="436"/>
      <c r="F170" s="436"/>
      <c r="G170" s="436"/>
      <c r="H170" s="436"/>
      <c r="I170" s="436"/>
      <c r="J170" s="436"/>
    </row>
    <row r="171" spans="1:11">
      <c r="A171" s="1345" t="s">
        <v>80</v>
      </c>
      <c r="B171" s="1346"/>
      <c r="C171" s="1347"/>
      <c r="D171" s="438" t="s">
        <v>88</v>
      </c>
      <c r="E171" s="438" t="s">
        <v>89</v>
      </c>
      <c r="F171" s="438" t="s">
        <v>90</v>
      </c>
      <c r="G171" s="439" t="s">
        <v>84</v>
      </c>
      <c r="H171" s="457"/>
      <c r="I171" s="436"/>
      <c r="J171" s="436"/>
    </row>
    <row r="172" spans="1:11">
      <c r="A172" s="469" t="s">
        <v>1139</v>
      </c>
      <c r="B172" s="467"/>
      <c r="C172" s="468"/>
      <c r="D172" s="459" t="s">
        <v>118</v>
      </c>
      <c r="E172" s="430">
        <f>9508*1.19</f>
        <v>11314.519999999999</v>
      </c>
      <c r="F172" s="431">
        <v>1.3</v>
      </c>
      <c r="G172" s="432">
        <f>+E172*F172</f>
        <v>14708.875999999998</v>
      </c>
      <c r="H172" s="460"/>
      <c r="I172" s="436"/>
    </row>
    <row r="173" spans="1:11">
      <c r="A173" s="469"/>
      <c r="B173" s="467"/>
      <c r="C173" s="468"/>
      <c r="D173" s="459"/>
      <c r="E173" s="430"/>
      <c r="F173" s="431"/>
      <c r="G173" s="432">
        <f t="shared" ref="G173:G174" si="4">SUM(G170:G172)*C173</f>
        <v>0</v>
      </c>
      <c r="H173" s="460"/>
      <c r="I173" s="436"/>
      <c r="J173" s="436"/>
    </row>
    <row r="174" spans="1:11">
      <c r="A174" s="469"/>
      <c r="B174" s="467"/>
      <c r="C174" s="468"/>
      <c r="D174" s="459"/>
      <c r="E174" s="430"/>
      <c r="F174" s="431"/>
      <c r="G174" s="432">
        <f t="shared" si="4"/>
        <v>0</v>
      </c>
      <c r="H174" s="460"/>
      <c r="I174" s="436"/>
      <c r="J174" s="436"/>
    </row>
    <row r="175" spans="1:11">
      <c r="A175" s="469"/>
      <c r="B175" s="467"/>
      <c r="C175" s="468"/>
      <c r="D175" s="459"/>
      <c r="E175" s="430"/>
      <c r="F175" s="431"/>
      <c r="G175" s="432">
        <f>SUM(G172:G174)*C175</f>
        <v>0</v>
      </c>
      <c r="H175" s="460"/>
      <c r="I175" s="436"/>
      <c r="J175" s="436"/>
    </row>
    <row r="176" spans="1:11">
      <c r="A176" s="469"/>
      <c r="B176" s="467"/>
      <c r="C176" s="468"/>
      <c r="D176" s="459"/>
      <c r="E176" s="430"/>
      <c r="F176" s="431"/>
      <c r="G176" s="432"/>
      <c r="H176" s="460"/>
      <c r="I176" s="436"/>
      <c r="J176" s="436"/>
    </row>
    <row r="177" spans="1:10" ht="13.5" thickBot="1">
      <c r="A177" s="472"/>
      <c r="B177" s="473"/>
      <c r="C177" s="474"/>
      <c r="D177" s="464"/>
      <c r="E177" s="433"/>
      <c r="F177" s="434"/>
      <c r="G177" s="435"/>
      <c r="H177" s="465"/>
      <c r="I177" s="436"/>
      <c r="J177" s="436"/>
    </row>
    <row r="178" spans="1:10" ht="13.5" thickBot="1">
      <c r="A178" s="436"/>
      <c r="B178" s="436"/>
      <c r="C178" s="436"/>
      <c r="D178" s="436"/>
      <c r="E178" s="436"/>
      <c r="F178" s="436"/>
      <c r="G178" s="437" t="s">
        <v>86</v>
      </c>
      <c r="H178" s="466">
        <f>SUM(G172:G177)</f>
        <v>14708.875999999998</v>
      </c>
      <c r="I178" s="541"/>
      <c r="J178" s="541"/>
    </row>
    <row r="179" spans="1:10" ht="13.5" thickBot="1">
      <c r="A179" s="450" t="s">
        <v>94</v>
      </c>
      <c r="B179" s="450"/>
      <c r="C179" s="436"/>
      <c r="D179" s="436"/>
      <c r="E179" s="436"/>
      <c r="F179" s="436"/>
      <c r="G179" s="436"/>
      <c r="H179" s="436"/>
      <c r="I179" s="436"/>
      <c r="J179" s="436"/>
    </row>
    <row r="180" spans="1:10">
      <c r="A180" s="1345" t="s">
        <v>95</v>
      </c>
      <c r="B180" s="1346"/>
      <c r="C180" s="1347"/>
      <c r="D180" s="438" t="s">
        <v>88</v>
      </c>
      <c r="E180" s="438" t="s">
        <v>89</v>
      </c>
      <c r="F180" s="438" t="s">
        <v>90</v>
      </c>
      <c r="G180" s="439" t="s">
        <v>84</v>
      </c>
      <c r="H180" s="457"/>
      <c r="I180" s="436"/>
      <c r="J180" s="436"/>
    </row>
    <row r="181" spans="1:10" customFormat="1" ht="15.75" thickBot="1">
      <c r="A181" s="1342" t="s">
        <v>666</v>
      </c>
      <c r="B181" s="1343"/>
      <c r="C181" s="1344"/>
      <c r="D181" s="475" t="s">
        <v>91</v>
      </c>
      <c r="E181" s="697">
        <v>42000</v>
      </c>
      <c r="F181" s="434">
        <f>+F172</f>
        <v>1.3</v>
      </c>
      <c r="G181" s="441">
        <f>+E181*F181</f>
        <v>54600</v>
      </c>
      <c r="H181" s="460"/>
    </row>
    <row r="182" spans="1:10" ht="13.5" thickBot="1">
      <c r="A182" s="1342"/>
      <c r="B182" s="1343"/>
      <c r="C182" s="1344"/>
      <c r="D182" s="475"/>
      <c r="E182" s="433"/>
      <c r="F182" s="434"/>
      <c r="G182" s="441">
        <f>+F182*E182</f>
        <v>0</v>
      </c>
      <c r="H182" s="460"/>
      <c r="I182" s="436"/>
      <c r="J182" s="436"/>
    </row>
    <row r="183" spans="1:10" ht="13.5" thickBot="1">
      <c r="A183" s="436"/>
      <c r="B183" s="436"/>
      <c r="C183" s="436"/>
      <c r="D183" s="436"/>
      <c r="E183" s="436"/>
      <c r="F183" s="436"/>
      <c r="G183" s="437" t="s">
        <v>86</v>
      </c>
      <c r="H183" s="466">
        <f>SUM(G181:G182)</f>
        <v>54600</v>
      </c>
      <c r="I183" s="541"/>
      <c r="J183" s="541"/>
    </row>
    <row r="184" spans="1:10" ht="13.5" thickBot="1">
      <c r="A184" s="450" t="s">
        <v>96</v>
      </c>
      <c r="B184" s="450"/>
      <c r="C184" s="436"/>
      <c r="D184" s="436"/>
      <c r="E184" s="436"/>
      <c r="F184" s="436"/>
      <c r="G184" s="436"/>
      <c r="H184" s="436"/>
      <c r="I184" s="436"/>
      <c r="J184" s="436"/>
    </row>
    <row r="185" spans="1:10">
      <c r="A185" s="476" t="s">
        <v>97</v>
      </c>
      <c r="B185" s="438"/>
      <c r="C185" s="438" t="s">
        <v>98</v>
      </c>
      <c r="D185" s="438" t="s">
        <v>99</v>
      </c>
      <c r="E185" s="442" t="s">
        <v>100</v>
      </c>
      <c r="F185" s="443" t="s">
        <v>83</v>
      </c>
      <c r="G185" s="444" t="s">
        <v>84</v>
      </c>
      <c r="H185" s="477"/>
      <c r="I185" s="436"/>
      <c r="J185" s="436"/>
    </row>
    <row r="186" spans="1:10">
      <c r="A186" s="478" t="s">
        <v>227</v>
      </c>
      <c r="B186" s="468">
        <v>1</v>
      </c>
      <c r="C186" s="479">
        <f>PERSONAL!$E$31</f>
        <v>48800</v>
      </c>
      <c r="D186" s="480">
        <f>PERSONAL!$F$31</f>
        <v>1.7431000000000001</v>
      </c>
      <c r="E186" s="440">
        <f>+D186*C186*B186</f>
        <v>85063.28</v>
      </c>
      <c r="F186" s="440">
        <v>5</v>
      </c>
      <c r="G186" s="445">
        <f>ROUND(E186/F186,0)</f>
        <v>17013</v>
      </c>
      <c r="H186" s="451"/>
      <c r="I186" s="436"/>
      <c r="J186" s="436"/>
    </row>
    <row r="187" spans="1:10" customFormat="1" ht="15">
      <c r="A187" s="478" t="s">
        <v>101</v>
      </c>
      <c r="B187" s="467">
        <v>1</v>
      </c>
      <c r="C187" s="479">
        <f>PERSONAL!$E$32</f>
        <v>87200</v>
      </c>
      <c r="D187" s="480">
        <f>PERSONAL!$F$31</f>
        <v>1.7431000000000001</v>
      </c>
      <c r="E187" s="440">
        <f>+D187*C187*B187</f>
        <v>151998.32</v>
      </c>
      <c r="F187" s="440">
        <f>+F186</f>
        <v>5</v>
      </c>
      <c r="G187" s="445">
        <f>ROUND(E187/F187,0)</f>
        <v>30400</v>
      </c>
      <c r="H187" s="451"/>
    </row>
    <row r="188" spans="1:10">
      <c r="A188" s="478"/>
      <c r="B188" s="468"/>
      <c r="C188" s="430"/>
      <c r="D188" s="459"/>
      <c r="E188" s="430"/>
      <c r="F188" s="440"/>
      <c r="G188" s="445"/>
      <c r="H188" s="451"/>
      <c r="I188" s="436"/>
      <c r="J188" s="436"/>
    </row>
    <row r="189" spans="1:10">
      <c r="A189" s="478"/>
      <c r="B189" s="468"/>
      <c r="C189" s="430"/>
      <c r="D189" s="459"/>
      <c r="E189" s="430"/>
      <c r="F189" s="440"/>
      <c r="G189" s="445"/>
      <c r="H189" s="451"/>
      <c r="I189" s="436"/>
      <c r="J189" s="436"/>
    </row>
    <row r="190" spans="1:10" ht="13.5" thickBot="1">
      <c r="A190" s="481"/>
      <c r="B190" s="474"/>
      <c r="C190" s="474"/>
      <c r="D190" s="474"/>
      <c r="E190" s="474"/>
      <c r="F190" s="474"/>
      <c r="G190" s="482"/>
      <c r="H190" s="482"/>
      <c r="I190" s="436"/>
      <c r="J190" s="436"/>
    </row>
    <row r="191" spans="1:10" ht="13.5" thickBot="1">
      <c r="A191" s="436"/>
      <c r="B191" s="436"/>
      <c r="C191" s="436"/>
      <c r="D191" s="436"/>
      <c r="E191" s="436"/>
      <c r="F191" s="436"/>
      <c r="G191" s="437" t="s">
        <v>86</v>
      </c>
      <c r="H191" s="466">
        <f>SUM(G186:G190)</f>
        <v>47413</v>
      </c>
      <c r="I191" s="1026">
        <f>+H191/H193</f>
        <v>0.35250416316687844</v>
      </c>
      <c r="J191" s="541"/>
    </row>
    <row r="192" spans="1:10" ht="13.5" thickBot="1">
      <c r="A192" s="436"/>
      <c r="B192" s="436"/>
      <c r="C192" s="436"/>
      <c r="D192" s="436"/>
      <c r="E192" s="436"/>
      <c r="F192" s="436"/>
      <c r="G192" s="483"/>
      <c r="H192" s="436"/>
      <c r="I192" s="436"/>
      <c r="J192" s="436"/>
    </row>
    <row r="193" spans="1:11" ht="13.5" thickBot="1">
      <c r="A193" s="436"/>
      <c r="B193" s="436"/>
      <c r="C193" s="436"/>
      <c r="D193" s="436"/>
      <c r="E193" s="484" t="s">
        <v>102</v>
      </c>
      <c r="F193" s="485"/>
      <c r="G193" s="485"/>
      <c r="H193" s="466">
        <f>H169+H178+H183+H191</f>
        <v>134503.37599999999</v>
      </c>
      <c r="I193" s="541"/>
      <c r="J193" s="541"/>
    </row>
    <row r="194" spans="1:11">
      <c r="A194" s="456"/>
      <c r="B194" s="456"/>
      <c r="C194" s="436"/>
      <c r="D194" s="456"/>
      <c r="E194" s="456"/>
      <c r="F194" s="456"/>
      <c r="G194" s="456"/>
      <c r="H194" s="436"/>
      <c r="I194" s="436"/>
      <c r="J194" s="436"/>
    </row>
    <row r="195" spans="1:11" ht="13.5" thickBot="1"/>
    <row r="196" spans="1:11" ht="15" customHeight="1">
      <c r="A196" s="1348" t="s">
        <v>213</v>
      </c>
      <c r="B196" s="1349"/>
      <c r="C196" s="1350"/>
      <c r="D196" s="448"/>
      <c r="E196" s="448"/>
      <c r="F196" s="448"/>
      <c r="G196" s="448"/>
      <c r="H196" s="449"/>
    </row>
    <row r="197" spans="1:11" ht="15" customHeight="1">
      <c r="A197" s="1351"/>
      <c r="B197" s="1352"/>
      <c r="C197" s="1353"/>
      <c r="D197" s="436"/>
      <c r="E197" s="450" t="s">
        <v>78</v>
      </c>
      <c r="F197" s="436"/>
      <c r="G197" s="436"/>
      <c r="H197" s="451"/>
      <c r="I197" s="436"/>
      <c r="J197" s="436"/>
    </row>
    <row r="198" spans="1:11" ht="15.75" customHeight="1" thickBot="1">
      <c r="A198" s="1354"/>
      <c r="B198" s="1355"/>
      <c r="C198" s="1356"/>
      <c r="D198" s="1360"/>
      <c r="E198" s="1361"/>
      <c r="F198" s="1361"/>
      <c r="G198" s="1361"/>
      <c r="H198" s="1362"/>
      <c r="I198" s="483"/>
      <c r="J198" s="483"/>
    </row>
    <row r="199" spans="1:11">
      <c r="A199" s="455"/>
      <c r="B199" s="436"/>
      <c r="C199" s="436"/>
      <c r="D199" s="436"/>
      <c r="E199" s="436"/>
      <c r="F199" s="436"/>
      <c r="G199" s="436"/>
      <c r="H199" s="436"/>
      <c r="I199" s="436"/>
      <c r="J199" s="436"/>
    </row>
    <row r="200" spans="1:11">
      <c r="A200" s="455" t="s">
        <v>547</v>
      </c>
      <c r="B200" s="456"/>
      <c r="C200" s="436"/>
      <c r="E200" s="456"/>
      <c r="G200" s="456" t="s">
        <v>1123</v>
      </c>
      <c r="H200" s="483" t="s">
        <v>1211</v>
      </c>
      <c r="I200" s="436"/>
      <c r="J200" s="436"/>
    </row>
    <row r="201" spans="1:11" s="931" customFormat="1" ht="52.15" customHeight="1">
      <c r="A201" s="928" t="s">
        <v>1122</v>
      </c>
      <c r="B201" s="1375" t="str">
        <f>VLOOKUP(H200,PRESUPUESTO!$A$18:$F$251,2,FALSE)</f>
        <v>LLENOS EN MATERIAL PROVENIENTES DE LA EXCAVACIÓN, compactados mecánicamente hasta obtener una densidad del 95% de la máxima obtenida en el ensayo del próctor modificado. Su medida será en sitio ya compactado.</v>
      </c>
      <c r="C201" s="1375"/>
      <c r="D201" s="1375"/>
      <c r="E201" s="1375"/>
      <c r="F201" s="1375"/>
      <c r="G201" s="929" t="s">
        <v>9</v>
      </c>
      <c r="H201" s="1024" t="str">
        <f>VLOOKUP(H200,PRESUPUESTO!$A$18:$F$251,3,FALSE)</f>
        <v>m3</v>
      </c>
    </row>
    <row r="202" spans="1:11">
      <c r="A202" s="456"/>
      <c r="B202" s="456"/>
      <c r="C202" s="436"/>
      <c r="D202" s="456"/>
      <c r="E202" s="456"/>
      <c r="F202" s="456"/>
      <c r="G202" s="456"/>
      <c r="H202" s="436"/>
      <c r="I202" s="436"/>
      <c r="J202" s="436"/>
    </row>
    <row r="203" spans="1:11" ht="13.5" thickBot="1">
      <c r="A203" s="450" t="s">
        <v>79</v>
      </c>
      <c r="B203" s="450"/>
      <c r="C203" s="436"/>
      <c r="D203" s="436"/>
      <c r="E203" s="436"/>
      <c r="F203" s="436"/>
      <c r="G203" s="436"/>
      <c r="H203" s="436"/>
      <c r="I203" s="436"/>
      <c r="J203" s="436"/>
    </row>
    <row r="204" spans="1:11">
      <c r="A204" s="1345" t="s">
        <v>80</v>
      </c>
      <c r="B204" s="1346"/>
      <c r="C204" s="1347"/>
      <c r="D204" s="438" t="s">
        <v>81</v>
      </c>
      <c r="E204" s="438" t="s">
        <v>82</v>
      </c>
      <c r="F204" s="438" t="s">
        <v>83</v>
      </c>
      <c r="G204" s="439" t="s">
        <v>84</v>
      </c>
      <c r="H204" s="457"/>
      <c r="I204" s="436"/>
      <c r="J204" s="436"/>
      <c r="K204" s="548"/>
    </row>
    <row r="205" spans="1:11">
      <c r="A205" s="1357" t="s">
        <v>85</v>
      </c>
      <c r="B205" s="1358"/>
      <c r="C205" s="1359"/>
      <c r="D205" s="459"/>
      <c r="E205" s="440"/>
      <c r="F205" s="440"/>
      <c r="G205" s="432">
        <f>ROUND(H230*0.05,0)</f>
        <v>2371</v>
      </c>
      <c r="H205" s="460"/>
      <c r="I205" s="436"/>
      <c r="J205" s="436"/>
    </row>
    <row r="206" spans="1:11" customFormat="1" ht="15">
      <c r="A206" s="1357" t="s">
        <v>1140</v>
      </c>
      <c r="B206" s="1358"/>
      <c r="C206" s="1359"/>
      <c r="D206" s="461" t="s">
        <v>1141</v>
      </c>
      <c r="E206" s="462">
        <v>44030</v>
      </c>
      <c r="F206" s="497">
        <v>0.35</v>
      </c>
      <c r="G206" s="432">
        <f>+E206*F206</f>
        <v>15410.499999999998</v>
      </c>
      <c r="H206" s="460"/>
    </row>
    <row r="207" spans="1:11" ht="13.5" thickBot="1">
      <c r="A207" s="1342"/>
      <c r="B207" s="1343"/>
      <c r="C207" s="1344"/>
      <c r="D207" s="464"/>
      <c r="E207" s="433"/>
      <c r="F207" s="434"/>
      <c r="G207" s="435"/>
      <c r="H207" s="465"/>
      <c r="I207" s="436"/>
      <c r="J207" s="436"/>
    </row>
    <row r="208" spans="1:11" ht="13.5" thickBot="1">
      <c r="A208" s="436"/>
      <c r="B208" s="436"/>
      <c r="C208" s="436"/>
      <c r="D208" s="436"/>
      <c r="E208" s="436"/>
      <c r="F208" s="436"/>
      <c r="G208" s="437" t="s">
        <v>86</v>
      </c>
      <c r="H208" s="466">
        <f>SUM(G205:G207)</f>
        <v>17781.5</v>
      </c>
      <c r="I208" s="541"/>
      <c r="J208" s="541"/>
    </row>
    <row r="209" spans="1:10" ht="13.5" thickBot="1">
      <c r="A209" s="450" t="s">
        <v>87</v>
      </c>
      <c r="B209" s="450"/>
      <c r="C209" s="436"/>
      <c r="D209" s="436"/>
      <c r="E209" s="436"/>
      <c r="F209" s="436"/>
      <c r="G209" s="436"/>
      <c r="H209" s="436"/>
      <c r="I209" s="436"/>
      <c r="J209" s="436"/>
    </row>
    <row r="210" spans="1:10">
      <c r="A210" s="1345" t="s">
        <v>80</v>
      </c>
      <c r="B210" s="1346"/>
      <c r="C210" s="1347"/>
      <c r="D210" s="438" t="s">
        <v>88</v>
      </c>
      <c r="E210" s="438" t="s">
        <v>89</v>
      </c>
      <c r="F210" s="438" t="s">
        <v>90</v>
      </c>
      <c r="G210" s="439" t="s">
        <v>84</v>
      </c>
      <c r="H210" s="457"/>
      <c r="I210" s="436"/>
      <c r="J210" s="436"/>
    </row>
    <row r="211" spans="1:10">
      <c r="A211" s="469"/>
      <c r="B211" s="467"/>
      <c r="C211" s="468"/>
      <c r="D211" s="459"/>
      <c r="E211" s="430"/>
      <c r="F211" s="431"/>
      <c r="G211" s="432">
        <f t="shared" ref="G211" si="5">SUM(G208:G210)*C211</f>
        <v>0</v>
      </c>
      <c r="H211" s="460"/>
      <c r="I211" s="436"/>
      <c r="J211" s="436"/>
    </row>
    <row r="212" spans="1:10">
      <c r="A212" s="469"/>
      <c r="B212" s="467"/>
      <c r="C212" s="468"/>
      <c r="D212" s="459"/>
      <c r="E212" s="430"/>
      <c r="F212" s="431"/>
      <c r="G212" s="432">
        <f t="shared" ref="G212:G213" si="6">SUM(G209:G211)*C212</f>
        <v>0</v>
      </c>
      <c r="H212" s="460"/>
      <c r="I212" s="436"/>
      <c r="J212" s="436"/>
    </row>
    <row r="213" spans="1:10">
      <c r="A213" s="469"/>
      <c r="B213" s="467"/>
      <c r="C213" s="468"/>
      <c r="D213" s="459"/>
      <c r="E213" s="430"/>
      <c r="F213" s="431"/>
      <c r="G213" s="432">
        <f t="shared" si="6"/>
        <v>0</v>
      </c>
      <c r="H213" s="460"/>
      <c r="I213" s="436"/>
      <c r="J213" s="436"/>
    </row>
    <row r="214" spans="1:10">
      <c r="A214" s="469"/>
      <c r="B214" s="467"/>
      <c r="C214" s="468"/>
      <c r="D214" s="459"/>
      <c r="E214" s="430"/>
      <c r="F214" s="431"/>
      <c r="G214" s="432">
        <f>SUM(G211:G213)*C214</f>
        <v>0</v>
      </c>
      <c r="H214" s="460"/>
      <c r="I214" s="436"/>
      <c r="J214" s="436"/>
    </row>
    <row r="215" spans="1:10">
      <c r="A215" s="469"/>
      <c r="B215" s="467"/>
      <c r="C215" s="468"/>
      <c r="D215" s="459"/>
      <c r="E215" s="430"/>
      <c r="F215" s="431"/>
      <c r="G215" s="432"/>
      <c r="H215" s="460"/>
      <c r="I215" s="436"/>
      <c r="J215" s="436"/>
    </row>
    <row r="216" spans="1:10" ht="13.5" thickBot="1">
      <c r="A216" s="472"/>
      <c r="B216" s="473"/>
      <c r="C216" s="474"/>
      <c r="D216" s="464"/>
      <c r="E216" s="433"/>
      <c r="F216" s="434"/>
      <c r="G216" s="435"/>
      <c r="H216" s="465"/>
      <c r="I216" s="436"/>
      <c r="J216" s="436"/>
    </row>
    <row r="217" spans="1:10" ht="13.5" thickBot="1">
      <c r="A217" s="436"/>
      <c r="B217" s="436"/>
      <c r="C217" s="436"/>
      <c r="D217" s="436"/>
      <c r="E217" s="436"/>
      <c r="F217" s="436"/>
      <c r="G217" s="437" t="s">
        <v>86</v>
      </c>
      <c r="H217" s="466">
        <f>SUM(G211:G216)</f>
        <v>0</v>
      </c>
      <c r="I217" s="541"/>
      <c r="J217" s="541"/>
    </row>
    <row r="218" spans="1:10" ht="13.5" thickBot="1">
      <c r="A218" s="450" t="s">
        <v>94</v>
      </c>
      <c r="B218" s="450"/>
      <c r="C218" s="436"/>
      <c r="D218" s="436"/>
      <c r="E218" s="436"/>
      <c r="F218" s="436"/>
      <c r="G218" s="436"/>
      <c r="H218" s="436"/>
      <c r="I218" s="436"/>
      <c r="J218" s="436"/>
    </row>
    <row r="219" spans="1:10">
      <c r="A219" s="1345" t="s">
        <v>95</v>
      </c>
      <c r="B219" s="1346"/>
      <c r="C219" s="1347"/>
      <c r="D219" s="438" t="s">
        <v>88</v>
      </c>
      <c r="E219" s="438" t="s">
        <v>89</v>
      </c>
      <c r="F219" s="438" t="s">
        <v>90</v>
      </c>
      <c r="G219" s="439" t="s">
        <v>84</v>
      </c>
      <c r="H219" s="457"/>
      <c r="I219" s="436"/>
      <c r="J219" s="436"/>
    </row>
    <row r="220" spans="1:10" customFormat="1" ht="15.75" thickBot="1">
      <c r="A220" s="1342"/>
      <c r="B220" s="1343"/>
      <c r="C220" s="1344"/>
      <c r="D220" s="475"/>
      <c r="E220" s="433"/>
      <c r="F220" s="434"/>
      <c r="G220" s="441">
        <f>+E220*F220</f>
        <v>0</v>
      </c>
      <c r="H220" s="460"/>
    </row>
    <row r="221" spans="1:10" ht="13.5" thickBot="1">
      <c r="A221" s="1342"/>
      <c r="B221" s="1343"/>
      <c r="C221" s="1344"/>
      <c r="D221" s="475"/>
      <c r="E221" s="433"/>
      <c r="F221" s="434"/>
      <c r="G221" s="441">
        <f>+F221*E221</f>
        <v>0</v>
      </c>
      <c r="H221" s="460"/>
      <c r="I221" s="436"/>
      <c r="J221" s="436"/>
    </row>
    <row r="222" spans="1:10" ht="13.5" thickBot="1">
      <c r="A222" s="436"/>
      <c r="B222" s="436"/>
      <c r="C222" s="436"/>
      <c r="D222" s="436"/>
      <c r="E222" s="436"/>
      <c r="F222" s="436"/>
      <c r="G222" s="437" t="s">
        <v>86</v>
      </c>
      <c r="H222" s="466">
        <f>SUM(G220:G221)</f>
        <v>0</v>
      </c>
      <c r="I222" s="541"/>
      <c r="J222" s="541"/>
    </row>
    <row r="223" spans="1:10" ht="13.5" thickBot="1">
      <c r="A223" s="450" t="s">
        <v>96</v>
      </c>
      <c r="B223" s="450"/>
      <c r="C223" s="436"/>
      <c r="D223" s="436"/>
      <c r="E223" s="436"/>
      <c r="F223" s="436"/>
      <c r="G223" s="436"/>
      <c r="H223" s="436"/>
      <c r="I223" s="436"/>
      <c r="J223" s="436"/>
    </row>
    <row r="224" spans="1:10">
      <c r="A224" s="476" t="s">
        <v>97</v>
      </c>
      <c r="B224" s="438"/>
      <c r="C224" s="438" t="s">
        <v>98</v>
      </c>
      <c r="D224" s="438" t="s">
        <v>99</v>
      </c>
      <c r="E224" s="442" t="s">
        <v>100</v>
      </c>
      <c r="F224" s="443" t="s">
        <v>83</v>
      </c>
      <c r="G224" s="444" t="s">
        <v>84</v>
      </c>
      <c r="H224" s="477"/>
      <c r="I224" s="436"/>
      <c r="J224" s="436"/>
    </row>
    <row r="225" spans="1:10">
      <c r="A225" s="478" t="s">
        <v>227</v>
      </c>
      <c r="B225" s="468">
        <v>1</v>
      </c>
      <c r="C225" s="479">
        <f>PERSONAL!$E$31</f>
        <v>48800</v>
      </c>
      <c r="D225" s="480">
        <f>PERSONAL!$F$31</f>
        <v>1.7431000000000001</v>
      </c>
      <c r="E225" s="440">
        <f>+D225*C225*B225</f>
        <v>85063.28</v>
      </c>
      <c r="F225" s="440">
        <v>5</v>
      </c>
      <c r="G225" s="445">
        <f>ROUND(E225/F225,0)</f>
        <v>17013</v>
      </c>
      <c r="H225" s="451"/>
      <c r="I225" s="436"/>
      <c r="J225" s="436"/>
    </row>
    <row r="226" spans="1:10" customFormat="1" ht="15">
      <c r="A226" s="478" t="s">
        <v>101</v>
      </c>
      <c r="B226" s="467">
        <v>1</v>
      </c>
      <c r="C226" s="479">
        <f>PERSONAL!$E$32</f>
        <v>87200</v>
      </c>
      <c r="D226" s="480">
        <f>PERSONAL!$F$31</f>
        <v>1.7431000000000001</v>
      </c>
      <c r="E226" s="440">
        <f>+D226*C226*B226</f>
        <v>151998.32</v>
      </c>
      <c r="F226" s="440">
        <f>+F225</f>
        <v>5</v>
      </c>
      <c r="G226" s="445">
        <f>ROUND(E226/F226,0)</f>
        <v>30400</v>
      </c>
      <c r="H226" s="451"/>
    </row>
    <row r="227" spans="1:10">
      <c r="A227" s="478"/>
      <c r="B227" s="468"/>
      <c r="C227" s="430"/>
      <c r="D227" s="459"/>
      <c r="E227" s="430"/>
      <c r="F227" s="440"/>
      <c r="G227" s="445"/>
      <c r="H227" s="451"/>
      <c r="I227" s="436"/>
      <c r="J227" s="436"/>
    </row>
    <row r="228" spans="1:10">
      <c r="A228" s="478"/>
      <c r="B228" s="468"/>
      <c r="C228" s="430"/>
      <c r="D228" s="459"/>
      <c r="E228" s="430"/>
      <c r="F228" s="440"/>
      <c r="G228" s="445"/>
      <c r="H228" s="451"/>
      <c r="I228" s="436"/>
      <c r="J228" s="436"/>
    </row>
    <row r="229" spans="1:10" ht="13.5" thickBot="1">
      <c r="A229" s="481"/>
      <c r="B229" s="474"/>
      <c r="C229" s="474"/>
      <c r="D229" s="474"/>
      <c r="E229" s="474"/>
      <c r="F229" s="474"/>
      <c r="G229" s="482"/>
      <c r="H229" s="482"/>
      <c r="I229" s="436"/>
      <c r="J229" s="436"/>
    </row>
    <row r="230" spans="1:10" ht="13.5" thickBot="1">
      <c r="A230" s="436"/>
      <c r="B230" s="436"/>
      <c r="C230" s="436"/>
      <c r="D230" s="436"/>
      <c r="E230" s="436"/>
      <c r="F230" s="436"/>
      <c r="G230" s="437" t="s">
        <v>86</v>
      </c>
      <c r="H230" s="466">
        <f>SUM(G225:G229)</f>
        <v>47413</v>
      </c>
      <c r="I230" s="1026">
        <f>+H230/H232</f>
        <v>0.72725459969782724</v>
      </c>
      <c r="J230" s="541"/>
    </row>
    <row r="231" spans="1:10" ht="13.5" thickBot="1">
      <c r="A231" s="436"/>
      <c r="B231" s="436"/>
      <c r="C231" s="436"/>
      <c r="D231" s="436"/>
      <c r="E231" s="436"/>
      <c r="F231" s="436"/>
      <c r="G231" s="483"/>
      <c r="H231" s="436"/>
      <c r="I231" s="436"/>
      <c r="J231" s="436"/>
    </row>
    <row r="232" spans="1:10" ht="13.5" thickBot="1">
      <c r="A232" s="436"/>
      <c r="B232" s="436"/>
      <c r="C232" s="436"/>
      <c r="D232" s="436"/>
      <c r="E232" s="484" t="s">
        <v>102</v>
      </c>
      <c r="F232" s="485"/>
      <c r="G232" s="485"/>
      <c r="H232" s="466">
        <f>H208+H217+H222+H230</f>
        <v>65194.5</v>
      </c>
      <c r="I232" s="541"/>
      <c r="J232" s="541"/>
    </row>
    <row r="233" spans="1:10">
      <c r="A233" s="456"/>
      <c r="B233" s="456"/>
      <c r="C233" s="436"/>
      <c r="D233" s="456"/>
      <c r="E233" s="456"/>
      <c r="F233" s="456"/>
      <c r="G233" s="456"/>
      <c r="H233" s="436"/>
      <c r="I233" s="436"/>
      <c r="J233" s="436"/>
    </row>
    <row r="234" spans="1:10" ht="13.5" thickBot="1"/>
    <row r="235" spans="1:10" ht="15" customHeight="1">
      <c r="A235" s="1348" t="s">
        <v>213</v>
      </c>
      <c r="B235" s="1349"/>
      <c r="C235" s="1350"/>
      <c r="D235" s="448"/>
      <c r="E235" s="448"/>
      <c r="F235" s="448"/>
      <c r="G235" s="448"/>
      <c r="H235" s="449"/>
    </row>
    <row r="236" spans="1:10" ht="15" customHeight="1">
      <c r="A236" s="1351"/>
      <c r="B236" s="1352"/>
      <c r="C236" s="1353"/>
      <c r="D236" s="436"/>
      <c r="E236" s="450" t="s">
        <v>78</v>
      </c>
      <c r="F236" s="436"/>
      <c r="G236" s="436"/>
      <c r="H236" s="451"/>
      <c r="I236" s="436"/>
      <c r="J236" s="436"/>
    </row>
    <row r="237" spans="1:10" ht="15.75" customHeight="1" thickBot="1">
      <c r="A237" s="1354"/>
      <c r="B237" s="1355"/>
      <c r="C237" s="1356"/>
      <c r="D237" s="1360"/>
      <c r="E237" s="1361"/>
      <c r="F237" s="1361"/>
      <c r="G237" s="1361"/>
      <c r="H237" s="1362"/>
      <c r="I237" s="483"/>
      <c r="J237" s="483"/>
    </row>
    <row r="238" spans="1:10">
      <c r="A238" s="455"/>
      <c r="B238" s="436"/>
      <c r="C238" s="436"/>
      <c r="D238" s="436"/>
      <c r="E238" s="436"/>
      <c r="F238" s="436"/>
      <c r="G238" s="436"/>
      <c r="H238" s="436"/>
      <c r="I238" s="436"/>
      <c r="J238" s="436"/>
    </row>
    <row r="239" spans="1:10">
      <c r="A239" s="455" t="s">
        <v>547</v>
      </c>
      <c r="B239" s="456"/>
      <c r="C239" s="436"/>
      <c r="E239" s="456"/>
      <c r="G239" s="456" t="s">
        <v>1123</v>
      </c>
      <c r="H239" s="483" t="s">
        <v>1212</v>
      </c>
      <c r="I239" s="436"/>
      <c r="J239" s="436"/>
    </row>
    <row r="240" spans="1:10" s="931" customFormat="1" ht="75" customHeight="1">
      <c r="A240" s="928" t="s">
        <v>1122</v>
      </c>
      <c r="B240" s="1375" t="str">
        <f>VLOOKUP(H239,PRESUPUESTO!$A$18:$F$251,2,FALSE)</f>
        <v>Construcción de ENTIBADO TEMPORAL en tablón de madera, bajo cualquier altura y grado de humedad. Incluye suministro, transporte y colocación de elementos en madera, el cargue, transporte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v>
      </c>
      <c r="C240" s="1375"/>
      <c r="D240" s="1375"/>
      <c r="E240" s="1375"/>
      <c r="F240" s="1375"/>
      <c r="G240" s="929" t="s">
        <v>9</v>
      </c>
      <c r="H240" s="1024" t="str">
        <f>VLOOKUP(H239,PRESUPUESTO!$A$18:$F$251,3,FALSE)</f>
        <v>m2</v>
      </c>
    </row>
    <row r="241" spans="1:11">
      <c r="A241" s="456"/>
      <c r="B241" s="456"/>
      <c r="C241" s="436"/>
      <c r="D241" s="456"/>
      <c r="E241" s="456"/>
      <c r="F241" s="456"/>
      <c r="G241" s="456"/>
      <c r="H241" s="436"/>
      <c r="I241" s="436"/>
      <c r="J241" s="436"/>
    </row>
    <row r="242" spans="1:11" ht="13.5" thickBot="1">
      <c r="A242" s="450" t="s">
        <v>79</v>
      </c>
      <c r="B242" s="450"/>
      <c r="C242" s="436"/>
      <c r="D242" s="436"/>
      <c r="E242" s="436"/>
      <c r="F242" s="436"/>
      <c r="G242" s="436"/>
      <c r="H242" s="436"/>
      <c r="I242" s="436"/>
      <c r="J242" s="436"/>
    </row>
    <row r="243" spans="1:11">
      <c r="A243" s="1345" t="s">
        <v>80</v>
      </c>
      <c r="B243" s="1346"/>
      <c r="C243" s="1347"/>
      <c r="D243" s="438" t="s">
        <v>81</v>
      </c>
      <c r="E243" s="438" t="s">
        <v>82</v>
      </c>
      <c r="F243" s="438" t="s">
        <v>83</v>
      </c>
      <c r="G243" s="439" t="s">
        <v>84</v>
      </c>
      <c r="H243" s="457"/>
      <c r="I243" s="436"/>
      <c r="J243" s="436"/>
      <c r="K243" s="548"/>
    </row>
    <row r="244" spans="1:11">
      <c r="A244" s="1357" t="s">
        <v>85</v>
      </c>
      <c r="B244" s="1358"/>
      <c r="C244" s="1359"/>
      <c r="D244" s="459"/>
      <c r="E244" s="440"/>
      <c r="F244" s="440"/>
      <c r="G244" s="432">
        <f>ROUND(H269*0.05,0)</f>
        <v>1185</v>
      </c>
      <c r="H244" s="460"/>
      <c r="I244" s="436"/>
      <c r="J244" s="436"/>
    </row>
    <row r="245" spans="1:11" customFormat="1" ht="15">
      <c r="A245" s="1357"/>
      <c r="B245" s="1358"/>
      <c r="C245" s="1359"/>
      <c r="D245" s="461"/>
      <c r="E245" s="462"/>
      <c r="F245" s="497"/>
      <c r="G245" s="432">
        <f>+E245*F245</f>
        <v>0</v>
      </c>
      <c r="H245" s="460"/>
    </row>
    <row r="246" spans="1:11" ht="13.5" thickBot="1">
      <c r="A246" s="1342"/>
      <c r="B246" s="1343"/>
      <c r="C246" s="1344"/>
      <c r="D246" s="464"/>
      <c r="E246" s="433"/>
      <c r="F246" s="434"/>
      <c r="G246" s="435"/>
      <c r="H246" s="465"/>
      <c r="I246" s="436"/>
      <c r="J246" s="436"/>
    </row>
    <row r="247" spans="1:11" ht="13.5" thickBot="1">
      <c r="A247" s="436"/>
      <c r="B247" s="436"/>
      <c r="C247" s="436"/>
      <c r="D247" s="436"/>
      <c r="E247" s="436"/>
      <c r="F247" s="436"/>
      <c r="G247" s="437" t="s">
        <v>86</v>
      </c>
      <c r="H247" s="466">
        <f>SUM(G244:G246)</f>
        <v>1185</v>
      </c>
      <c r="I247" s="541"/>
      <c r="J247" s="541"/>
    </row>
    <row r="248" spans="1:11" ht="13.5" thickBot="1">
      <c r="A248" s="450" t="s">
        <v>87</v>
      </c>
      <c r="B248" s="450"/>
      <c r="C248" s="436"/>
      <c r="D248" s="436"/>
      <c r="E248" s="436"/>
      <c r="F248" s="436"/>
      <c r="G248" s="436"/>
      <c r="H248" s="436"/>
      <c r="I248" s="436"/>
      <c r="J248" s="436"/>
    </row>
    <row r="249" spans="1:11">
      <c r="A249" s="1345" t="s">
        <v>80</v>
      </c>
      <c r="B249" s="1346"/>
      <c r="C249" s="1347"/>
      <c r="D249" s="438" t="s">
        <v>88</v>
      </c>
      <c r="E249" s="438" t="s">
        <v>89</v>
      </c>
      <c r="F249" s="438" t="s">
        <v>90</v>
      </c>
      <c r="G249" s="439" t="s">
        <v>84</v>
      </c>
      <c r="H249" s="457"/>
      <c r="I249" s="436"/>
      <c r="J249" s="436"/>
    </row>
    <row r="250" spans="1:11">
      <c r="A250" s="469" t="s">
        <v>699</v>
      </c>
      <c r="B250" s="467"/>
      <c r="C250" s="468"/>
      <c r="D250" s="459" t="s">
        <v>700</v>
      </c>
      <c r="E250" s="546">
        <v>6188</v>
      </c>
      <c r="F250" s="431">
        <f>1/5</f>
        <v>0.2</v>
      </c>
      <c r="G250" s="432">
        <f>+E250*F250</f>
        <v>1237.6000000000001</v>
      </c>
      <c r="H250" s="460"/>
      <c r="I250" s="436"/>
      <c r="J250" s="436"/>
    </row>
    <row r="251" spans="1:11">
      <c r="A251" s="469" t="s">
        <v>1142</v>
      </c>
      <c r="B251" s="467"/>
      <c r="C251" s="468"/>
      <c r="D251" s="459" t="s">
        <v>88</v>
      </c>
      <c r="E251" s="430">
        <v>7350</v>
      </c>
      <c r="F251" s="431">
        <f>((9/9)/6)</f>
        <v>0.16666666666666666</v>
      </c>
      <c r="G251" s="432">
        <f>+E251*F251</f>
        <v>1225</v>
      </c>
      <c r="H251" s="460"/>
      <c r="I251" s="436"/>
      <c r="J251" s="436"/>
    </row>
    <row r="252" spans="1:11">
      <c r="A252" s="469" t="s">
        <v>1143</v>
      </c>
      <c r="B252" s="467"/>
      <c r="C252" s="468"/>
      <c r="D252" s="459" t="s">
        <v>88</v>
      </c>
      <c r="E252" s="430">
        <v>24100</v>
      </c>
      <c r="F252" s="431">
        <f>((1/0.2))/6</f>
        <v>0.83333333333333337</v>
      </c>
      <c r="G252" s="432">
        <f>+E252*F252</f>
        <v>20083.333333333336</v>
      </c>
      <c r="H252" s="460"/>
      <c r="I252" s="436"/>
      <c r="J252" s="436"/>
    </row>
    <row r="253" spans="1:11">
      <c r="A253" s="469"/>
      <c r="B253" s="467"/>
      <c r="C253" s="468"/>
      <c r="D253" s="459"/>
      <c r="E253" s="430"/>
      <c r="F253" s="431"/>
      <c r="G253" s="432">
        <f>SUM(G250:G252)*C253</f>
        <v>0</v>
      </c>
      <c r="H253" s="460"/>
      <c r="I253" s="436"/>
      <c r="J253" s="436"/>
    </row>
    <row r="254" spans="1:11">
      <c r="A254" s="469"/>
      <c r="B254" s="467"/>
      <c r="C254" s="468"/>
      <c r="D254" s="459"/>
      <c r="E254" s="430"/>
      <c r="F254" s="431"/>
      <c r="G254" s="432"/>
      <c r="H254" s="460"/>
      <c r="I254" s="436"/>
      <c r="J254" s="436"/>
    </row>
    <row r="255" spans="1:11" ht="13.5" thickBot="1">
      <c r="A255" s="472"/>
      <c r="B255" s="473"/>
      <c r="C255" s="474"/>
      <c r="D255" s="464"/>
      <c r="E255" s="433"/>
      <c r="F255" s="434"/>
      <c r="G255" s="435"/>
      <c r="H255" s="465"/>
      <c r="I255" s="436"/>
      <c r="J255" s="436"/>
    </row>
    <row r="256" spans="1:11" ht="13.5" thickBot="1">
      <c r="A256" s="436"/>
      <c r="B256" s="436"/>
      <c r="C256" s="436"/>
      <c r="D256" s="436"/>
      <c r="E256" s="436"/>
      <c r="F256" s="436"/>
      <c r="G256" s="437" t="s">
        <v>86</v>
      </c>
      <c r="H256" s="466">
        <f>SUM(G250:G255)</f>
        <v>22545.933333333334</v>
      </c>
      <c r="I256" s="541"/>
      <c r="J256" s="541"/>
    </row>
    <row r="257" spans="1:10" ht="13.5" thickBot="1">
      <c r="A257" s="450" t="s">
        <v>94</v>
      </c>
      <c r="B257" s="450"/>
      <c r="C257" s="436"/>
      <c r="D257" s="436"/>
      <c r="E257" s="436"/>
      <c r="F257" s="436"/>
      <c r="G257" s="436"/>
      <c r="H257" s="436"/>
      <c r="I257" s="436"/>
      <c r="J257" s="436"/>
    </row>
    <row r="258" spans="1:10">
      <c r="A258" s="1345" t="s">
        <v>95</v>
      </c>
      <c r="B258" s="1346"/>
      <c r="C258" s="1347"/>
      <c r="D258" s="438" t="s">
        <v>88</v>
      </c>
      <c r="E258" s="438" t="s">
        <v>89</v>
      </c>
      <c r="F258" s="438" t="s">
        <v>90</v>
      </c>
      <c r="G258" s="439" t="s">
        <v>84</v>
      </c>
      <c r="H258" s="457"/>
      <c r="I258" s="436"/>
      <c r="J258" s="436"/>
    </row>
    <row r="259" spans="1:10" customFormat="1" ht="15" customHeight="1">
      <c r="A259" s="458" t="s">
        <v>235</v>
      </c>
      <c r="B259" s="467"/>
      <c r="C259" s="468"/>
      <c r="D259" s="459" t="s">
        <v>91</v>
      </c>
      <c r="E259" s="674">
        <v>14500</v>
      </c>
      <c r="F259" s="440">
        <f>1/10</f>
        <v>0.1</v>
      </c>
      <c r="G259" s="432">
        <f>E259*F259</f>
        <v>1450</v>
      </c>
      <c r="H259" s="460"/>
    </row>
    <row r="260" spans="1:10" customFormat="1" ht="15.75" thickBot="1">
      <c r="A260" s="1342" t="s">
        <v>673</v>
      </c>
      <c r="B260" s="1343"/>
      <c r="C260" s="1344"/>
      <c r="D260" s="475" t="s">
        <v>674</v>
      </c>
      <c r="E260" s="433">
        <v>165000</v>
      </c>
      <c r="F260" s="434">
        <f>1/50</f>
        <v>0.02</v>
      </c>
      <c r="G260" s="441">
        <f>+E260*F260</f>
        <v>3300</v>
      </c>
      <c r="H260" s="460"/>
    </row>
    <row r="261" spans="1:10" ht="13.5" thickBot="1">
      <c r="A261" s="436"/>
      <c r="B261" s="436"/>
      <c r="C261" s="436"/>
      <c r="D261" s="436"/>
      <c r="E261" s="436"/>
      <c r="F261" s="436"/>
      <c r="G261" s="437" t="s">
        <v>86</v>
      </c>
      <c r="H261" s="466">
        <f>SUM(G259:G260)</f>
        <v>4750</v>
      </c>
      <c r="I261" s="541">
        <f>+H261/H271</f>
        <v>9.1018952381439033E-2</v>
      </c>
      <c r="J261" s="541"/>
    </row>
    <row r="262" spans="1:10" ht="13.5" thickBot="1">
      <c r="A262" s="450" t="s">
        <v>96</v>
      </c>
      <c r="B262" s="450"/>
      <c r="C262" s="436"/>
      <c r="D262" s="436"/>
      <c r="E262" s="436"/>
      <c r="F262" s="436"/>
      <c r="G262" s="436"/>
      <c r="H262" s="436"/>
      <c r="I262" s="436"/>
      <c r="J262" s="436"/>
    </row>
    <row r="263" spans="1:10">
      <c r="A263" s="476" t="s">
        <v>97</v>
      </c>
      <c r="B263" s="438"/>
      <c r="C263" s="438" t="s">
        <v>98</v>
      </c>
      <c r="D263" s="438" t="s">
        <v>99</v>
      </c>
      <c r="E263" s="442" t="s">
        <v>100</v>
      </c>
      <c r="F263" s="443" t="s">
        <v>83</v>
      </c>
      <c r="G263" s="444" t="s">
        <v>84</v>
      </c>
      <c r="H263" s="477"/>
      <c r="I263" s="436"/>
      <c r="J263" s="436"/>
    </row>
    <row r="264" spans="1:10">
      <c r="A264" s="478" t="s">
        <v>227</v>
      </c>
      <c r="B264" s="468">
        <v>1</v>
      </c>
      <c r="C264" s="479">
        <f>PERSONAL!$E$31</f>
        <v>48800</v>
      </c>
      <c r="D264" s="480">
        <f>PERSONAL!$F$31</f>
        <v>1.7431000000000001</v>
      </c>
      <c r="E264" s="440">
        <f>+D264*C264*B264</f>
        <v>85063.28</v>
      </c>
      <c r="F264" s="440">
        <v>10</v>
      </c>
      <c r="G264" s="445">
        <f>ROUND(E264/F264,0)</f>
        <v>8506</v>
      </c>
      <c r="H264" s="451"/>
      <c r="I264" s="436"/>
      <c r="J264" s="436"/>
    </row>
    <row r="265" spans="1:10" customFormat="1" ht="15">
      <c r="A265" s="478" t="s">
        <v>101</v>
      </c>
      <c r="B265" s="467">
        <v>1</v>
      </c>
      <c r="C265" s="479">
        <f>PERSONAL!$E$32</f>
        <v>87200</v>
      </c>
      <c r="D265" s="480">
        <f>PERSONAL!$F$31</f>
        <v>1.7431000000000001</v>
      </c>
      <c r="E265" s="440">
        <f>+D265*C265*B265</f>
        <v>151998.32</v>
      </c>
      <c r="F265" s="440">
        <f>+F264</f>
        <v>10</v>
      </c>
      <c r="G265" s="445">
        <f>ROUND(E265/F265,0)</f>
        <v>15200</v>
      </c>
      <c r="H265" s="451"/>
    </row>
    <row r="266" spans="1:10">
      <c r="A266" s="478"/>
      <c r="B266" s="468"/>
      <c r="C266" s="430"/>
      <c r="D266" s="459"/>
      <c r="E266" s="430"/>
      <c r="F266" s="440"/>
      <c r="G266" s="445"/>
      <c r="H266" s="451"/>
      <c r="I266" s="436"/>
      <c r="J266" s="436"/>
    </row>
    <row r="267" spans="1:10">
      <c r="A267" s="478"/>
      <c r="B267" s="468"/>
      <c r="C267" s="430"/>
      <c r="D267" s="459"/>
      <c r="E267" s="430"/>
      <c r="F267" s="440"/>
      <c r="G267" s="445"/>
      <c r="H267" s="451"/>
      <c r="I267" s="436"/>
      <c r="J267" s="436"/>
    </row>
    <row r="268" spans="1:10" ht="13.5" thickBot="1">
      <c r="A268" s="481"/>
      <c r="B268" s="474"/>
      <c r="C268" s="474"/>
      <c r="D268" s="474"/>
      <c r="E268" s="474"/>
      <c r="F268" s="474"/>
      <c r="G268" s="482"/>
      <c r="H268" s="482"/>
      <c r="I268" s="436"/>
      <c r="J268" s="436"/>
    </row>
    <row r="269" spans="1:10" ht="13.5" thickBot="1">
      <c r="A269" s="436"/>
      <c r="B269" s="436"/>
      <c r="C269" s="436"/>
      <c r="D269" s="436"/>
      <c r="E269" s="436"/>
      <c r="F269" s="436"/>
      <c r="G269" s="437" t="s">
        <v>86</v>
      </c>
      <c r="H269" s="466">
        <f>SUM(G264:G268)</f>
        <v>23706</v>
      </c>
      <c r="I269" s="1026">
        <f>+H269/H271</f>
        <v>0.45425163897987236</v>
      </c>
      <c r="J269" s="541"/>
    </row>
    <row r="270" spans="1:10" ht="13.5" thickBot="1">
      <c r="A270" s="436"/>
      <c r="B270" s="436"/>
      <c r="C270" s="436"/>
      <c r="D270" s="436"/>
      <c r="E270" s="436"/>
      <c r="F270" s="436"/>
      <c r="G270" s="483"/>
      <c r="H270" s="436"/>
      <c r="I270" s="436"/>
      <c r="J270" s="436"/>
    </row>
    <row r="271" spans="1:10" ht="13.5" thickBot="1">
      <c r="A271" s="436"/>
      <c r="B271" s="436"/>
      <c r="C271" s="436"/>
      <c r="D271" s="436"/>
      <c r="E271" s="484" t="s">
        <v>102</v>
      </c>
      <c r="F271" s="485"/>
      <c r="G271" s="485"/>
      <c r="H271" s="466">
        <f>H247+H256+H261+H269</f>
        <v>52186.933333333334</v>
      </c>
      <c r="I271" s="541"/>
      <c r="J271" s="541"/>
    </row>
    <row r="272" spans="1:10">
      <c r="A272" s="456"/>
      <c r="B272" s="456"/>
      <c r="C272" s="436"/>
      <c r="D272" s="456"/>
      <c r="E272" s="456"/>
      <c r="F272" s="456"/>
      <c r="G272" s="456"/>
      <c r="H272" s="436"/>
      <c r="I272" s="436"/>
      <c r="J272" s="436"/>
    </row>
    <row r="273" spans="1:10">
      <c r="A273" s="456"/>
      <c r="B273" s="456"/>
      <c r="C273" s="436"/>
      <c r="D273" s="456"/>
      <c r="E273" s="456"/>
      <c r="F273" s="456"/>
      <c r="G273" s="456"/>
      <c r="H273" s="436"/>
      <c r="I273" s="436"/>
      <c r="J273" s="436"/>
    </row>
    <row r="274" spans="1:10">
      <c r="A274" s="456"/>
      <c r="B274" s="456"/>
      <c r="C274" s="436"/>
      <c r="D274" s="456"/>
      <c r="E274" s="456"/>
      <c r="F274" s="456"/>
      <c r="G274" s="456"/>
      <c r="H274" s="436"/>
      <c r="I274" s="436"/>
      <c r="J274" s="436"/>
    </row>
    <row r="275" spans="1:10">
      <c r="A275" s="456"/>
      <c r="B275" s="456"/>
      <c r="C275" s="436"/>
      <c r="D275" s="456"/>
      <c r="E275" s="456"/>
      <c r="F275" s="456"/>
      <c r="G275" s="456"/>
      <c r="H275" s="436"/>
      <c r="I275" s="436"/>
      <c r="J275" s="436"/>
    </row>
    <row r="276" spans="1:10">
      <c r="A276" s="456"/>
      <c r="B276" s="456"/>
      <c r="C276" s="436"/>
      <c r="D276" s="456"/>
      <c r="E276" s="456"/>
      <c r="F276" s="456"/>
      <c r="G276" s="456"/>
      <c r="H276" s="436"/>
      <c r="I276" s="436"/>
      <c r="J276" s="436"/>
    </row>
    <row r="277" spans="1:10">
      <c r="A277" s="456"/>
      <c r="B277" s="456"/>
      <c r="C277" s="436"/>
      <c r="D277" s="456"/>
      <c r="E277" s="456"/>
      <c r="F277" s="456"/>
      <c r="G277" s="456"/>
      <c r="H277" s="436"/>
      <c r="I277" s="436"/>
      <c r="J277" s="436"/>
    </row>
    <row r="278" spans="1:10">
      <c r="A278" s="456"/>
      <c r="B278" s="456"/>
      <c r="C278" s="436"/>
      <c r="D278" s="456"/>
      <c r="E278" s="456"/>
      <c r="F278" s="456"/>
      <c r="G278" s="456"/>
      <c r="H278" s="436"/>
      <c r="I278" s="436"/>
      <c r="J278" s="436"/>
    </row>
    <row r="279" spans="1:10">
      <c r="A279" s="456"/>
      <c r="B279" s="456"/>
      <c r="C279" s="436"/>
      <c r="D279" s="456"/>
      <c r="E279" s="456"/>
      <c r="F279" s="456"/>
      <c r="G279" s="456"/>
      <c r="H279" s="436"/>
      <c r="I279" s="436"/>
      <c r="J279" s="436"/>
    </row>
    <row r="280" spans="1:10">
      <c r="A280" s="456"/>
      <c r="B280" s="456"/>
      <c r="C280" s="436"/>
      <c r="D280" s="456"/>
      <c r="E280" s="456"/>
      <c r="F280" s="456"/>
      <c r="G280" s="456"/>
      <c r="H280" s="436"/>
      <c r="I280" s="436"/>
      <c r="J280" s="436"/>
    </row>
    <row r="281" spans="1:10">
      <c r="A281" s="456"/>
      <c r="B281" s="456"/>
      <c r="C281" s="436"/>
      <c r="D281" s="456"/>
      <c r="E281" s="456"/>
      <c r="F281" s="456"/>
      <c r="G281" s="456"/>
      <c r="H281" s="436"/>
      <c r="I281" s="436"/>
      <c r="J281" s="436"/>
    </row>
    <row r="282" spans="1:10">
      <c r="A282" s="456"/>
      <c r="B282" s="456"/>
      <c r="C282" s="436"/>
      <c r="D282" s="456"/>
      <c r="E282" s="456"/>
      <c r="F282" s="456"/>
      <c r="G282" s="456"/>
      <c r="H282" s="436"/>
      <c r="I282" s="436"/>
      <c r="J282" s="436"/>
    </row>
    <row r="283" spans="1:10">
      <c r="A283" s="456"/>
      <c r="B283" s="456"/>
      <c r="C283" s="436"/>
      <c r="D283" s="456"/>
      <c r="E283" s="456"/>
      <c r="F283" s="456"/>
      <c r="G283" s="456"/>
      <c r="H283" s="436"/>
      <c r="I283" s="436"/>
      <c r="J283" s="436"/>
    </row>
    <row r="284" spans="1:10">
      <c r="A284" s="456"/>
      <c r="B284" s="456"/>
      <c r="C284" s="436"/>
      <c r="D284" s="456"/>
      <c r="E284" s="456"/>
      <c r="F284" s="456"/>
      <c r="G284" s="456"/>
      <c r="H284" s="436"/>
      <c r="I284" s="436"/>
      <c r="J284" s="436"/>
    </row>
    <row r="285" spans="1:10" ht="15">
      <c r="A285" s="186"/>
    </row>
    <row r="286" spans="1:10" ht="13.5" thickBot="1"/>
    <row r="287" spans="1:10" ht="15" customHeight="1">
      <c r="A287" s="1348" t="s">
        <v>213</v>
      </c>
      <c r="B287" s="1349"/>
      <c r="C287" s="1350"/>
      <c r="D287" s="448"/>
      <c r="E287" s="448"/>
      <c r="F287" s="448"/>
      <c r="G287" s="448"/>
      <c r="H287" s="449"/>
    </row>
    <row r="288" spans="1:10" ht="15" customHeight="1">
      <c r="A288" s="1351"/>
      <c r="B288" s="1352"/>
      <c r="C288" s="1353"/>
      <c r="D288" s="436"/>
      <c r="E288" s="450" t="s">
        <v>78</v>
      </c>
      <c r="F288" s="436"/>
      <c r="G288" s="436"/>
      <c r="H288" s="451"/>
      <c r="I288" s="436"/>
      <c r="J288" s="436"/>
    </row>
    <row r="289" spans="1:11" ht="15.75" customHeight="1" thickBot="1">
      <c r="A289" s="1354"/>
      <c r="B289" s="1355"/>
      <c r="C289" s="1356"/>
      <c r="D289" s="1360"/>
      <c r="E289" s="1361"/>
      <c r="F289" s="1361"/>
      <c r="G289" s="1361"/>
      <c r="H289" s="1362"/>
      <c r="I289" s="483"/>
      <c r="J289" s="483"/>
    </row>
    <row r="290" spans="1:11">
      <c r="A290" s="455"/>
      <c r="B290" s="436"/>
      <c r="C290" s="436"/>
      <c r="D290" s="436"/>
      <c r="E290" s="436"/>
      <c r="F290" s="436"/>
      <c r="G290" s="436"/>
      <c r="H290" s="436"/>
      <c r="I290" s="436"/>
      <c r="J290" s="436"/>
    </row>
    <row r="291" spans="1:11">
      <c r="A291" s="455" t="s">
        <v>547</v>
      </c>
      <c r="B291" s="456"/>
      <c r="C291" s="436"/>
      <c r="E291" s="456"/>
      <c r="G291" s="456" t="s">
        <v>1123</v>
      </c>
      <c r="H291" s="436" t="s">
        <v>1214</v>
      </c>
      <c r="I291" s="436"/>
      <c r="J291" s="436"/>
    </row>
    <row r="292" spans="1:11" s="931" customFormat="1" ht="34.15" customHeight="1">
      <c r="A292" s="928" t="s">
        <v>1122</v>
      </c>
      <c r="B292" s="1375" t="str">
        <f>VLOOKUP(H291,PRESUPUESTO!$A$18:$F$251,2,FALSE)</f>
        <v>Suministro, transporte e instalación de tubería P.V.C-Novafort S8  d=10" o similar.(Incluye los accesorios necesarios para su funcionamiento, Según norma técnica ASTM 2321)</v>
      </c>
      <c r="C292" s="1375"/>
      <c r="D292" s="1375"/>
      <c r="E292" s="1375"/>
      <c r="F292" s="1375"/>
      <c r="G292" s="929" t="s">
        <v>9</v>
      </c>
      <c r="H292" s="1024" t="str">
        <f>VLOOKUP(H291,PRESUPUESTO!$A$18:$F$251,3,FALSE)</f>
        <v>ml</v>
      </c>
    </row>
    <row r="293" spans="1:11">
      <c r="A293" s="456"/>
      <c r="B293" s="456"/>
      <c r="C293" s="436"/>
      <c r="D293" s="456"/>
      <c r="E293" s="456"/>
      <c r="F293" s="456"/>
      <c r="G293" s="456"/>
      <c r="H293" s="436"/>
      <c r="I293" s="436"/>
      <c r="J293" s="436"/>
    </row>
    <row r="294" spans="1:11" ht="13.5" thickBot="1">
      <c r="A294" s="450" t="s">
        <v>79</v>
      </c>
      <c r="B294" s="450"/>
      <c r="C294" s="436"/>
      <c r="D294" s="436"/>
      <c r="E294" s="436"/>
      <c r="F294" s="436"/>
      <c r="G294" s="436"/>
      <c r="H294" s="436"/>
      <c r="I294" s="436"/>
      <c r="J294" s="436"/>
    </row>
    <row r="295" spans="1:11">
      <c r="A295" s="1345" t="s">
        <v>80</v>
      </c>
      <c r="B295" s="1346"/>
      <c r="C295" s="1347"/>
      <c r="D295" s="438" t="s">
        <v>81</v>
      </c>
      <c r="E295" s="438" t="s">
        <v>82</v>
      </c>
      <c r="F295" s="438" t="s">
        <v>83</v>
      </c>
      <c r="G295" s="439" t="s">
        <v>84</v>
      </c>
      <c r="H295" s="457"/>
      <c r="I295" s="436"/>
      <c r="J295" s="436"/>
      <c r="K295" s="548"/>
    </row>
    <row r="296" spans="1:11">
      <c r="A296" s="1357" t="s">
        <v>85</v>
      </c>
      <c r="B296" s="1358"/>
      <c r="C296" s="1359"/>
      <c r="D296" s="459"/>
      <c r="E296" s="440"/>
      <c r="F296" s="440"/>
      <c r="G296" s="432">
        <f>ROUND(H321*0.05,0)</f>
        <v>1482</v>
      </c>
      <c r="H296" s="460"/>
      <c r="I296" s="436"/>
      <c r="J296" s="436"/>
    </row>
    <row r="297" spans="1:11">
      <c r="A297" s="1357"/>
      <c r="B297" s="1358"/>
      <c r="C297" s="1359"/>
      <c r="D297" s="461"/>
      <c r="E297" s="462"/>
      <c r="F297" s="440"/>
      <c r="G297" s="432">
        <f>E297*F297</f>
        <v>0</v>
      </c>
      <c r="H297" s="460"/>
      <c r="I297" s="436"/>
      <c r="J297" s="436"/>
    </row>
    <row r="298" spans="1:11" ht="13.5" thickBot="1">
      <c r="A298" s="1342"/>
      <c r="B298" s="1343"/>
      <c r="C298" s="1344"/>
      <c r="D298" s="464"/>
      <c r="E298" s="433"/>
      <c r="F298" s="434"/>
      <c r="G298" s="435"/>
      <c r="H298" s="465"/>
      <c r="I298" s="436"/>
      <c r="J298" s="436"/>
    </row>
    <row r="299" spans="1:11" ht="13.5" thickBot="1">
      <c r="A299" s="436"/>
      <c r="B299" s="436"/>
      <c r="C299" s="436"/>
      <c r="D299" s="436"/>
      <c r="E299" s="436"/>
      <c r="F299" s="436"/>
      <c r="G299" s="437" t="s">
        <v>86</v>
      </c>
      <c r="H299" s="466">
        <f>SUM(G296:G298)</f>
        <v>1482</v>
      </c>
      <c r="I299" s="541"/>
      <c r="J299" s="541"/>
    </row>
    <row r="300" spans="1:11" ht="13.5" thickBot="1">
      <c r="A300" s="450" t="s">
        <v>87</v>
      </c>
      <c r="B300" s="450"/>
      <c r="C300" s="436"/>
      <c r="D300" s="436"/>
      <c r="E300" s="436"/>
      <c r="F300" s="436"/>
      <c r="G300" s="436"/>
      <c r="H300" s="436"/>
      <c r="I300" s="436"/>
      <c r="J300" s="436"/>
    </row>
    <row r="301" spans="1:11">
      <c r="A301" s="1345" t="s">
        <v>80</v>
      </c>
      <c r="B301" s="1346"/>
      <c r="C301" s="1347"/>
      <c r="D301" s="438" t="s">
        <v>88</v>
      </c>
      <c r="E301" s="438" t="s">
        <v>89</v>
      </c>
      <c r="F301" s="438" t="s">
        <v>90</v>
      </c>
      <c r="G301" s="439" t="s">
        <v>84</v>
      </c>
      <c r="H301" s="457"/>
      <c r="I301" s="436"/>
      <c r="J301" s="436"/>
    </row>
    <row r="302" spans="1:11">
      <c r="A302" s="458" t="s">
        <v>544</v>
      </c>
      <c r="B302" s="467"/>
      <c r="C302" s="468"/>
      <c r="D302" s="459" t="s">
        <v>271</v>
      </c>
      <c r="E302" s="674">
        <f>MATERIALES!C25/6</f>
        <v>97992.833333333328</v>
      </c>
      <c r="F302" s="440">
        <v>1</v>
      </c>
      <c r="G302" s="432">
        <f>ROUND(F302*E302,0)</f>
        <v>97993</v>
      </c>
      <c r="H302" s="460"/>
      <c r="I302" s="436"/>
    </row>
    <row r="303" spans="1:11">
      <c r="A303" s="469" t="s">
        <v>785</v>
      </c>
      <c r="B303" s="467"/>
      <c r="C303" s="468"/>
      <c r="D303" s="459" t="s">
        <v>173</v>
      </c>
      <c r="E303" s="674">
        <f>16040*1.19</f>
        <v>19087.599999999999</v>
      </c>
      <c r="F303" s="431">
        <f>1/6</f>
        <v>0.16666666666666666</v>
      </c>
      <c r="G303" s="432">
        <f>ROUND(F303*E303,0)</f>
        <v>3181</v>
      </c>
      <c r="H303" s="460"/>
      <c r="I303" s="436"/>
      <c r="J303" s="436"/>
    </row>
    <row r="304" spans="1:11">
      <c r="A304" s="469" t="s">
        <v>793</v>
      </c>
      <c r="B304" s="467"/>
      <c r="C304" s="471"/>
      <c r="D304" s="459" t="s">
        <v>794</v>
      </c>
      <c r="E304" s="674">
        <f>26036*1.19</f>
        <v>30982.84</v>
      </c>
      <c r="F304" s="431">
        <f>1/20</f>
        <v>0.05</v>
      </c>
      <c r="G304" s="432">
        <f>ROUND(F304*E304,0)</f>
        <v>1549</v>
      </c>
      <c r="H304" s="460"/>
      <c r="I304" s="436"/>
      <c r="J304" s="436"/>
    </row>
    <row r="305" spans="1:10">
      <c r="A305" s="469" t="s">
        <v>93</v>
      </c>
      <c r="B305" s="467"/>
      <c r="C305" s="471">
        <v>0.05</v>
      </c>
      <c r="D305" s="459"/>
      <c r="E305" s="430"/>
      <c r="F305" s="431"/>
      <c r="G305" s="432">
        <f>SUM(G302:G304)*C305</f>
        <v>5136.1500000000005</v>
      </c>
      <c r="H305" s="460"/>
      <c r="I305" s="436"/>
      <c r="J305" s="436"/>
    </row>
    <row r="306" spans="1:10">
      <c r="A306" s="469"/>
      <c r="B306" s="467"/>
      <c r="C306" s="468"/>
      <c r="D306" s="459"/>
      <c r="E306" s="430"/>
      <c r="F306" s="431"/>
      <c r="G306" s="432"/>
      <c r="H306" s="460"/>
      <c r="I306" s="436"/>
      <c r="J306" s="436"/>
    </row>
    <row r="307" spans="1:10" ht="13.5" thickBot="1">
      <c r="A307" s="472"/>
      <c r="B307" s="473"/>
      <c r="C307" s="474"/>
      <c r="D307" s="464"/>
      <c r="E307" s="433"/>
      <c r="F307" s="434"/>
      <c r="G307" s="435"/>
      <c r="H307" s="465"/>
      <c r="I307" s="436"/>
      <c r="J307" s="436"/>
    </row>
    <row r="308" spans="1:10" ht="13.5" thickBot="1">
      <c r="A308" s="436"/>
      <c r="B308" s="436"/>
      <c r="C308" s="436"/>
      <c r="D308" s="436"/>
      <c r="E308" s="436"/>
      <c r="F308" s="436"/>
      <c r="G308" s="437" t="s">
        <v>86</v>
      </c>
      <c r="H308" s="466">
        <f>SUM(G302:G307)</f>
        <v>107859.15</v>
      </c>
      <c r="I308" s="541"/>
      <c r="J308" s="541"/>
    </row>
    <row r="309" spans="1:10" ht="13.5" thickBot="1">
      <c r="A309" s="450" t="s">
        <v>94</v>
      </c>
      <c r="B309" s="450"/>
      <c r="C309" s="436"/>
      <c r="D309" s="436"/>
      <c r="E309" s="436"/>
      <c r="F309" s="436"/>
      <c r="G309" s="436"/>
      <c r="H309" s="436"/>
      <c r="I309" s="436"/>
      <c r="J309" s="436"/>
    </row>
    <row r="310" spans="1:10">
      <c r="A310" s="1345" t="s">
        <v>95</v>
      </c>
      <c r="B310" s="1346"/>
      <c r="C310" s="1347"/>
      <c r="D310" s="438" t="s">
        <v>88</v>
      </c>
      <c r="E310" s="438" t="s">
        <v>89</v>
      </c>
      <c r="F310" s="438" t="s">
        <v>90</v>
      </c>
      <c r="G310" s="439" t="s">
        <v>84</v>
      </c>
      <c r="H310" s="457"/>
      <c r="I310" s="436"/>
      <c r="J310" s="436"/>
    </row>
    <row r="311" spans="1:10">
      <c r="A311" s="458" t="s">
        <v>546</v>
      </c>
      <c r="B311" s="467"/>
      <c r="C311" s="468"/>
      <c r="D311" s="459" t="s">
        <v>271</v>
      </c>
      <c r="E311" s="430">
        <v>0</v>
      </c>
      <c r="F311" s="440">
        <v>1</v>
      </c>
      <c r="G311" s="440">
        <f>E311*F311</f>
        <v>0</v>
      </c>
      <c r="H311" s="460"/>
      <c r="I311" s="436"/>
      <c r="J311" s="436"/>
    </row>
    <row r="312" spans="1:10" ht="13.5" thickBot="1">
      <c r="A312" s="1342" t="s">
        <v>235</v>
      </c>
      <c r="B312" s="1343"/>
      <c r="C312" s="1344"/>
      <c r="D312" s="475" t="s">
        <v>271</v>
      </c>
      <c r="E312" s="697">
        <v>2000</v>
      </c>
      <c r="F312" s="434">
        <v>1</v>
      </c>
      <c r="G312" s="441">
        <f>+F312*E312</f>
        <v>2000</v>
      </c>
      <c r="H312" s="460"/>
      <c r="I312" s="436"/>
      <c r="J312" s="436"/>
    </row>
    <row r="313" spans="1:10" ht="13.5" thickBot="1">
      <c r="A313" s="436"/>
      <c r="B313" s="436"/>
      <c r="C313" s="436"/>
      <c r="D313" s="436"/>
      <c r="E313" s="436"/>
      <c r="F313" s="436"/>
      <c r="G313" s="437" t="s">
        <v>86</v>
      </c>
      <c r="H313" s="466">
        <f>SUM(G311:G312)</f>
        <v>2000</v>
      </c>
      <c r="I313" s="541"/>
      <c r="J313" s="541"/>
    </row>
    <row r="314" spans="1:10" ht="13.5" thickBot="1">
      <c r="A314" s="450" t="s">
        <v>96</v>
      </c>
      <c r="B314" s="450"/>
      <c r="C314" s="436"/>
      <c r="D314" s="436"/>
      <c r="E314" s="436"/>
      <c r="F314" s="436"/>
      <c r="G314" s="436"/>
      <c r="H314" s="436"/>
      <c r="I314" s="436"/>
      <c r="J314" s="436"/>
    </row>
    <row r="315" spans="1:10">
      <c r="A315" s="476" t="s">
        <v>97</v>
      </c>
      <c r="B315" s="438"/>
      <c r="C315" s="438" t="s">
        <v>98</v>
      </c>
      <c r="D315" s="438" t="s">
        <v>99</v>
      </c>
      <c r="E315" s="442" t="s">
        <v>100</v>
      </c>
      <c r="F315" s="443" t="s">
        <v>83</v>
      </c>
      <c r="G315" s="444" t="s">
        <v>84</v>
      </c>
      <c r="H315" s="477"/>
      <c r="I315" s="436"/>
      <c r="J315" s="436"/>
    </row>
    <row r="316" spans="1:10">
      <c r="A316" s="478" t="s">
        <v>227</v>
      </c>
      <c r="B316" s="468"/>
      <c r="C316" s="479">
        <f>PERSONAL!$E$31</f>
        <v>48800</v>
      </c>
      <c r="D316" s="480">
        <f>PERSONAL!$F$31</f>
        <v>1.7431000000000001</v>
      </c>
      <c r="E316" s="440">
        <f>+D316*C316</f>
        <v>85063.28</v>
      </c>
      <c r="F316" s="686">
        <v>8</v>
      </c>
      <c r="G316" s="445">
        <f>ROUND(E316/F316,0)</f>
        <v>10633</v>
      </c>
      <c r="H316" s="451"/>
      <c r="I316" s="436"/>
      <c r="J316" s="436"/>
    </row>
    <row r="317" spans="1:10">
      <c r="A317" s="478" t="s">
        <v>101</v>
      </c>
      <c r="B317" s="467"/>
      <c r="C317" s="479">
        <f>PERSONAL!$E$32</f>
        <v>87200</v>
      </c>
      <c r="D317" s="480">
        <f>PERSONAL!$F$31</f>
        <v>1.7431000000000001</v>
      </c>
      <c r="E317" s="440">
        <f>+D317*C317</f>
        <v>151998.32</v>
      </c>
      <c r="F317" s="686">
        <f>+F316</f>
        <v>8</v>
      </c>
      <c r="G317" s="445">
        <f>ROUND(E317/F317,0)</f>
        <v>19000</v>
      </c>
      <c r="H317" s="451"/>
      <c r="I317" s="436"/>
      <c r="J317" s="436"/>
    </row>
    <row r="318" spans="1:10">
      <c r="A318" s="478"/>
      <c r="B318" s="468"/>
      <c r="C318" s="430"/>
      <c r="D318" s="459"/>
      <c r="E318" s="430"/>
      <c r="F318" s="440"/>
      <c r="G318" s="445"/>
      <c r="H318" s="451"/>
      <c r="I318" s="436">
        <f>3000*10</f>
        <v>30000</v>
      </c>
      <c r="J318" s="436"/>
    </row>
    <row r="319" spans="1:10">
      <c r="A319" s="478"/>
      <c r="B319" s="468"/>
      <c r="C319" s="430"/>
      <c r="D319" s="459"/>
      <c r="E319" s="430"/>
      <c r="F319" s="440"/>
      <c r="G319" s="445"/>
      <c r="H319" s="451"/>
      <c r="I319" s="436"/>
      <c r="J319" s="436"/>
    </row>
    <row r="320" spans="1:10" ht="13.5" thickBot="1">
      <c r="A320" s="481"/>
      <c r="B320" s="474"/>
      <c r="C320" s="474"/>
      <c r="D320" s="474"/>
      <c r="E320" s="474"/>
      <c r="F320" s="474"/>
      <c r="G320" s="482"/>
      <c r="H320" s="482"/>
      <c r="I320" s="436"/>
      <c r="J320" s="436"/>
    </row>
    <row r="321" spans="1:10" ht="13.5" thickBot="1">
      <c r="A321" s="436"/>
      <c r="B321" s="436"/>
      <c r="C321" s="436"/>
      <c r="D321" s="436"/>
      <c r="E321" s="436"/>
      <c r="F321" s="436"/>
      <c r="G321" s="437" t="s">
        <v>86</v>
      </c>
      <c r="H321" s="466">
        <f>SUM(G316:G320)</f>
        <v>29633</v>
      </c>
      <c r="I321" s="541"/>
      <c r="J321" s="541"/>
    </row>
    <row r="322" spans="1:10" ht="13.5" thickBot="1">
      <c r="A322" s="436"/>
      <c r="B322" s="436"/>
      <c r="C322" s="436"/>
      <c r="D322" s="436"/>
      <c r="E322" s="436"/>
      <c r="F322" s="436"/>
      <c r="G322" s="483"/>
      <c r="H322" s="436"/>
      <c r="I322" s="436"/>
      <c r="J322" s="436"/>
    </row>
    <row r="323" spans="1:10" ht="13.5" thickBot="1">
      <c r="A323" s="436"/>
      <c r="B323" s="436"/>
      <c r="C323" s="436"/>
      <c r="D323" s="436"/>
      <c r="E323" s="484" t="s">
        <v>102</v>
      </c>
      <c r="F323" s="485"/>
      <c r="G323" s="485"/>
      <c r="H323" s="466">
        <f>H299+H308+H313+H321</f>
        <v>140974.15</v>
      </c>
      <c r="I323" s="541"/>
      <c r="J323" s="541"/>
    </row>
    <row r="324" spans="1:10" ht="13.5" thickBot="1">
      <c r="A324" s="450" t="s">
        <v>103</v>
      </c>
      <c r="B324" s="450"/>
      <c r="C324" s="436"/>
      <c r="D324" s="436"/>
      <c r="E324" s="436"/>
      <c r="F324" s="436"/>
      <c r="G324" s="436"/>
      <c r="H324" s="436"/>
      <c r="I324" s="436"/>
      <c r="J324" s="436"/>
    </row>
    <row r="325" spans="1:10">
      <c r="A325" s="487" t="s">
        <v>80</v>
      </c>
      <c r="B325" s="488"/>
      <c r="C325" s="488"/>
      <c r="D325" s="488"/>
      <c r="E325" s="489"/>
      <c r="F325" s="490" t="s">
        <v>104</v>
      </c>
      <c r="G325" s="491" t="s">
        <v>105</v>
      </c>
      <c r="H325" s="457"/>
      <c r="I325" s="436"/>
      <c r="J325" s="436"/>
    </row>
    <row r="326" spans="1:10">
      <c r="A326" s="469" t="s">
        <v>106</v>
      </c>
      <c r="B326" s="467"/>
      <c r="C326" s="467"/>
      <c r="D326" s="467"/>
      <c r="E326" s="468"/>
      <c r="F326" s="492">
        <f>PRESUPUESTO!$E$222</f>
        <v>0.109</v>
      </c>
      <c r="G326" s="493">
        <f>+F326*H323</f>
        <v>15366.182349999999</v>
      </c>
      <c r="H326" s="550"/>
      <c r="I326" s="436"/>
      <c r="J326" s="436"/>
    </row>
    <row r="327" spans="1:10">
      <c r="A327" s="469" t="s">
        <v>107</v>
      </c>
      <c r="B327" s="467"/>
      <c r="C327" s="467"/>
      <c r="D327" s="467"/>
      <c r="E327" s="468"/>
      <c r="F327" s="492">
        <f>PRESUPUESTO!$E$223</f>
        <v>0.05</v>
      </c>
      <c r="G327" s="493">
        <f>+F327*H323</f>
        <v>7048.7075000000004</v>
      </c>
      <c r="H327" s="550"/>
      <c r="I327" s="436"/>
      <c r="J327" s="436"/>
    </row>
    <row r="328" spans="1:10" ht="13.5" thickBot="1">
      <c r="A328" s="472" t="s">
        <v>108</v>
      </c>
      <c r="B328" s="473"/>
      <c r="C328" s="473"/>
      <c r="D328" s="473"/>
      <c r="E328" s="474"/>
      <c r="F328" s="494">
        <v>0</v>
      </c>
      <c r="G328" s="495">
        <f>+F328*H323</f>
        <v>0</v>
      </c>
      <c r="H328" s="465"/>
      <c r="I328" s="436"/>
      <c r="J328" s="436"/>
    </row>
    <row r="329" spans="1:10" ht="13.5" thickBot="1">
      <c r="A329" s="436"/>
      <c r="B329" s="436"/>
      <c r="C329" s="436"/>
      <c r="D329" s="436"/>
      <c r="E329" s="436"/>
      <c r="F329" s="436"/>
      <c r="G329" s="437" t="s">
        <v>86</v>
      </c>
      <c r="H329" s="496">
        <f>SUM(G326:G328)</f>
        <v>22414.88985</v>
      </c>
      <c r="I329" s="541"/>
      <c r="J329" s="541"/>
    </row>
    <row r="330" spans="1:10" ht="13.5" thickBot="1">
      <c r="A330" s="436"/>
      <c r="B330" s="436"/>
      <c r="C330" s="436"/>
      <c r="D330" s="436"/>
      <c r="E330" s="436"/>
      <c r="F330" s="436"/>
      <c r="G330" s="436"/>
      <c r="H330" s="436"/>
      <c r="I330" s="436"/>
      <c r="J330" s="436"/>
    </row>
    <row r="331" spans="1:10" ht="13.5" thickBot="1">
      <c r="C331" s="436"/>
      <c r="D331" s="484" t="s">
        <v>109</v>
      </c>
      <c r="E331" s="485"/>
      <c r="F331" s="485"/>
      <c r="G331" s="485"/>
      <c r="H331" s="466">
        <f>ROUND((H323+H329),0)</f>
        <v>163389</v>
      </c>
      <c r="I331" s="541"/>
      <c r="J331" s="541"/>
    </row>
    <row r="333" spans="1:10" ht="15">
      <c r="A333" s="186" t="s">
        <v>77</v>
      </c>
    </row>
    <row r="334" spans="1:10" ht="13.5" thickBot="1"/>
    <row r="335" spans="1:10" ht="15" customHeight="1">
      <c r="A335" s="1348" t="s">
        <v>213</v>
      </c>
      <c r="B335" s="1349"/>
      <c r="C335" s="1350"/>
      <c r="D335" s="448"/>
      <c r="E335" s="448"/>
      <c r="F335" s="448"/>
      <c r="G335" s="448"/>
      <c r="H335" s="449"/>
    </row>
    <row r="336" spans="1:10" ht="15" customHeight="1">
      <c r="A336" s="1351"/>
      <c r="B336" s="1352"/>
      <c r="C336" s="1353"/>
      <c r="D336" s="436"/>
      <c r="E336" s="450" t="s">
        <v>78</v>
      </c>
      <c r="F336" s="436"/>
      <c r="G336" s="436"/>
      <c r="H336" s="451"/>
    </row>
    <row r="337" spans="1:10" ht="15" customHeight="1" thickBot="1">
      <c r="A337" s="1354"/>
      <c r="B337" s="1355"/>
      <c r="C337" s="1356"/>
      <c r="D337" s="1360"/>
      <c r="E337" s="1361"/>
      <c r="F337" s="1361"/>
      <c r="G337" s="1361"/>
      <c r="H337" s="1362"/>
    </row>
    <row r="338" spans="1:10">
      <c r="A338" s="455"/>
      <c r="B338" s="436"/>
      <c r="C338" s="436"/>
      <c r="D338" s="436"/>
      <c r="E338" s="436"/>
      <c r="F338" s="436"/>
      <c r="G338" s="436"/>
      <c r="H338" s="436"/>
    </row>
    <row r="339" spans="1:10" s="931" customFormat="1">
      <c r="A339" s="928" t="s">
        <v>547</v>
      </c>
      <c r="B339" s="929"/>
      <c r="C339" s="930"/>
      <c r="E339" s="929"/>
      <c r="G339" s="1023" t="s">
        <v>1123</v>
      </c>
      <c r="H339" s="436" t="s">
        <v>1215</v>
      </c>
    </row>
    <row r="340" spans="1:10" s="931" customFormat="1" ht="34.15" customHeight="1">
      <c r="A340" s="928" t="s">
        <v>1122</v>
      </c>
      <c r="B340" s="1375" t="str">
        <f>VLOOKUP(H339,PRESUPUESTO!$A$18:$F$251,2,FALSE)</f>
        <v>Suministro, transporte e instalación de tubería P.V.C-Novafort S8   d=8" o similar.(Incluye los accesorios necesarios para su funcionamiento, Según norma técnica ASTM 2322)</v>
      </c>
      <c r="C340" s="1375"/>
      <c r="D340" s="1375"/>
      <c r="E340" s="1375"/>
      <c r="F340" s="1375"/>
      <c r="G340" s="929" t="s">
        <v>9</v>
      </c>
      <c r="H340" s="1024" t="str">
        <f>VLOOKUP(H339,PRESUPUESTO!$A$18:$F$251,3,FALSE)</f>
        <v>ml</v>
      </c>
    </row>
    <row r="341" spans="1:10">
      <c r="A341" s="456"/>
      <c r="B341" s="456"/>
      <c r="C341" s="436"/>
      <c r="D341" s="456"/>
      <c r="E341" s="456"/>
      <c r="F341" s="456"/>
      <c r="G341" s="456"/>
      <c r="H341" s="436"/>
    </row>
    <row r="342" spans="1:10" ht="13.5" thickBot="1">
      <c r="A342" s="450" t="s">
        <v>79</v>
      </c>
      <c r="B342" s="450"/>
      <c r="C342" s="436"/>
      <c r="D342" s="436"/>
      <c r="E342" s="436"/>
      <c r="F342" s="436"/>
      <c r="G342" s="436"/>
      <c r="H342" s="436"/>
    </row>
    <row r="343" spans="1:10">
      <c r="A343" s="1345" t="s">
        <v>80</v>
      </c>
      <c r="B343" s="1346"/>
      <c r="C343" s="1347"/>
      <c r="D343" s="438" t="s">
        <v>81</v>
      </c>
      <c r="E343" s="438" t="s">
        <v>82</v>
      </c>
      <c r="F343" s="438" t="s">
        <v>83</v>
      </c>
      <c r="G343" s="439" t="s">
        <v>84</v>
      </c>
      <c r="H343" s="457"/>
    </row>
    <row r="344" spans="1:10">
      <c r="A344" s="1357" t="s">
        <v>85</v>
      </c>
      <c r="B344" s="1358"/>
      <c r="C344" s="1359"/>
      <c r="D344" s="459"/>
      <c r="E344" s="440"/>
      <c r="F344" s="440"/>
      <c r="G344" s="432">
        <f>ROUND(H369*0.05,0)</f>
        <v>1185</v>
      </c>
      <c r="H344" s="460"/>
    </row>
    <row r="345" spans="1:10">
      <c r="A345" s="1357"/>
      <c r="B345" s="1358"/>
      <c r="C345" s="1359"/>
      <c r="D345" s="461"/>
      <c r="E345" s="462"/>
      <c r="F345" s="440"/>
      <c r="G345" s="432">
        <f>E345*F345</f>
        <v>0</v>
      </c>
      <c r="H345" s="460"/>
    </row>
    <row r="346" spans="1:10" ht="13.5" thickBot="1">
      <c r="A346" s="1342"/>
      <c r="B346" s="1343"/>
      <c r="C346" s="1344"/>
      <c r="D346" s="464"/>
      <c r="E346" s="433"/>
      <c r="F346" s="434"/>
      <c r="G346" s="435"/>
      <c r="H346" s="465"/>
    </row>
    <row r="347" spans="1:10" ht="13.5" thickBot="1">
      <c r="A347" s="436"/>
      <c r="B347" s="436"/>
      <c r="C347" s="436"/>
      <c r="D347" s="436"/>
      <c r="E347" s="436"/>
      <c r="F347" s="436"/>
      <c r="G347" s="437" t="s">
        <v>86</v>
      </c>
      <c r="H347" s="466">
        <f>SUM(G344:G346)</f>
        <v>1185</v>
      </c>
    </row>
    <row r="348" spans="1:10" ht="13.5" thickBot="1">
      <c r="A348" s="450" t="s">
        <v>87</v>
      </c>
      <c r="B348" s="450"/>
      <c r="C348" s="436"/>
      <c r="D348" s="436"/>
      <c r="E348" s="436"/>
      <c r="F348" s="436"/>
      <c r="G348" s="436"/>
      <c r="H348" s="436"/>
    </row>
    <row r="349" spans="1:10">
      <c r="A349" s="1345" t="s">
        <v>80</v>
      </c>
      <c r="B349" s="1346"/>
      <c r="C349" s="1347"/>
      <c r="D349" s="438" t="s">
        <v>88</v>
      </c>
      <c r="E349" s="438" t="s">
        <v>89</v>
      </c>
      <c r="F349" s="438" t="s">
        <v>90</v>
      </c>
      <c r="G349" s="439" t="s">
        <v>84</v>
      </c>
      <c r="H349" s="457"/>
    </row>
    <row r="350" spans="1:10">
      <c r="A350" s="458" t="s">
        <v>548</v>
      </c>
      <c r="B350" s="467"/>
      <c r="C350" s="468"/>
      <c r="D350" s="459" t="s">
        <v>271</v>
      </c>
      <c r="E350" s="674">
        <f>MATERIALES!C26/6</f>
        <v>67093.166666666672</v>
      </c>
      <c r="F350" s="440">
        <v>1</v>
      </c>
      <c r="G350" s="432">
        <f>ROUND(F350*E350,0)</f>
        <v>67093</v>
      </c>
      <c r="H350" s="460"/>
      <c r="I350" s="436"/>
    </row>
    <row r="351" spans="1:10">
      <c r="A351" s="469" t="s">
        <v>786</v>
      </c>
      <c r="B351" s="467"/>
      <c r="C351" s="468"/>
      <c r="D351" s="459" t="s">
        <v>173</v>
      </c>
      <c r="E351" s="430">
        <f>8835*1.19</f>
        <v>10513.65</v>
      </c>
      <c r="F351" s="431">
        <f>1/6</f>
        <v>0.16666666666666666</v>
      </c>
      <c r="G351" s="432">
        <f>ROUND(F351*E351,0)</f>
        <v>1752</v>
      </c>
      <c r="H351" s="460"/>
      <c r="I351" s="436"/>
    </row>
    <row r="352" spans="1:10">
      <c r="A352" s="469" t="s">
        <v>793</v>
      </c>
      <c r="B352" s="467"/>
      <c r="C352" s="471"/>
      <c r="D352" s="459" t="s">
        <v>794</v>
      </c>
      <c r="E352" s="674">
        <f>26036*1.19</f>
        <v>30982.84</v>
      </c>
      <c r="F352" s="431">
        <f>1/22</f>
        <v>4.5454545454545456E-2</v>
      </c>
      <c r="G352" s="432">
        <f>ROUND(F352*E352,0)</f>
        <v>1408</v>
      </c>
      <c r="H352" s="460"/>
      <c r="I352" s="436"/>
      <c r="J352" s="436"/>
    </row>
    <row r="353" spans="1:9">
      <c r="A353" s="469" t="s">
        <v>93</v>
      </c>
      <c r="B353" s="467"/>
      <c r="C353" s="471">
        <v>0.05</v>
      </c>
      <c r="D353" s="459"/>
      <c r="E353" s="430"/>
      <c r="F353" s="431"/>
      <c r="G353" s="432">
        <f>SUM(G350:G352)*C353</f>
        <v>3512.65</v>
      </c>
      <c r="H353" s="460"/>
    </row>
    <row r="354" spans="1:9">
      <c r="A354" s="469"/>
      <c r="B354" s="467"/>
      <c r="C354" s="468"/>
      <c r="D354" s="459"/>
      <c r="E354" s="430"/>
      <c r="F354" s="431"/>
      <c r="G354" s="432"/>
      <c r="H354" s="460"/>
    </row>
    <row r="355" spans="1:9" ht="13.5" thickBot="1">
      <c r="A355" s="472"/>
      <c r="B355" s="473"/>
      <c r="C355" s="474"/>
      <c r="D355" s="464"/>
      <c r="E355" s="433"/>
      <c r="F355" s="434"/>
      <c r="G355" s="435"/>
      <c r="H355" s="465"/>
    </row>
    <row r="356" spans="1:9" ht="13.5" thickBot="1">
      <c r="A356" s="436"/>
      <c r="B356" s="436"/>
      <c r="C356" s="436"/>
      <c r="D356" s="436"/>
      <c r="E356" s="436"/>
      <c r="F356" s="436"/>
      <c r="G356" s="437" t="s">
        <v>86</v>
      </c>
      <c r="H356" s="466">
        <f>SUM(G350:G355)</f>
        <v>73765.649999999994</v>
      </c>
    </row>
    <row r="357" spans="1:9" ht="13.5" thickBot="1">
      <c r="A357" s="450" t="s">
        <v>94</v>
      </c>
      <c r="B357" s="450"/>
      <c r="C357" s="436"/>
      <c r="D357" s="436"/>
      <c r="E357" s="436"/>
      <c r="F357" s="436"/>
      <c r="G357" s="436"/>
      <c r="H357" s="436"/>
    </row>
    <row r="358" spans="1:9">
      <c r="A358" s="1345" t="s">
        <v>95</v>
      </c>
      <c r="B358" s="1346"/>
      <c r="C358" s="1347"/>
      <c r="D358" s="438" t="s">
        <v>88</v>
      </c>
      <c r="E358" s="438" t="s">
        <v>89</v>
      </c>
      <c r="F358" s="438" t="s">
        <v>90</v>
      </c>
      <c r="G358" s="439" t="s">
        <v>84</v>
      </c>
      <c r="H358" s="457"/>
    </row>
    <row r="359" spans="1:9">
      <c r="A359" s="458" t="s">
        <v>546</v>
      </c>
      <c r="B359" s="467"/>
      <c r="C359" s="468"/>
      <c r="D359" s="459" t="s">
        <v>271</v>
      </c>
      <c r="E359" s="430">
        <v>0</v>
      </c>
      <c r="F359" s="440">
        <v>1</v>
      </c>
      <c r="G359" s="440">
        <f>E359*F359</f>
        <v>0</v>
      </c>
      <c r="H359" s="460"/>
    </row>
    <row r="360" spans="1:9" ht="13.5" thickBot="1">
      <c r="A360" s="1342" t="s">
        <v>235</v>
      </c>
      <c r="B360" s="1343"/>
      <c r="C360" s="1344"/>
      <c r="D360" s="475" t="s">
        <v>271</v>
      </c>
      <c r="E360" s="433">
        <v>2000</v>
      </c>
      <c r="F360" s="434">
        <v>1</v>
      </c>
      <c r="G360" s="441">
        <f>+F360*E360</f>
        <v>2000</v>
      </c>
      <c r="H360" s="460"/>
    </row>
    <row r="361" spans="1:9" ht="13.5" thickBot="1">
      <c r="A361" s="436"/>
      <c r="B361" s="436"/>
      <c r="C361" s="436"/>
      <c r="D361" s="436"/>
      <c r="E361" s="436"/>
      <c r="F361" s="436"/>
      <c r="G361" s="437" t="s">
        <v>86</v>
      </c>
      <c r="H361" s="466">
        <f>SUM(G359:G360)</f>
        <v>2000</v>
      </c>
    </row>
    <row r="362" spans="1:9" ht="13.5" thickBot="1">
      <c r="A362" s="450" t="s">
        <v>96</v>
      </c>
      <c r="B362" s="450"/>
      <c r="C362" s="436"/>
      <c r="D362" s="436"/>
      <c r="E362" s="436"/>
      <c r="F362" s="436"/>
      <c r="G362" s="436"/>
      <c r="H362" s="436"/>
    </row>
    <row r="363" spans="1:9">
      <c r="A363" s="476" t="s">
        <v>97</v>
      </c>
      <c r="B363" s="438"/>
      <c r="C363" s="438" t="s">
        <v>98</v>
      </c>
      <c r="D363" s="438" t="s">
        <v>99</v>
      </c>
      <c r="E363" s="442" t="s">
        <v>100</v>
      </c>
      <c r="F363" s="443" t="s">
        <v>83</v>
      </c>
      <c r="G363" s="444" t="s">
        <v>84</v>
      </c>
      <c r="H363" s="477"/>
    </row>
    <row r="364" spans="1:9">
      <c r="A364" s="478" t="s">
        <v>227</v>
      </c>
      <c r="B364" s="468"/>
      <c r="C364" s="479">
        <f>PERSONAL!$E$31</f>
        <v>48800</v>
      </c>
      <c r="D364" s="480">
        <f>PERSONAL!$F$31</f>
        <v>1.7431000000000001</v>
      </c>
      <c r="E364" s="440">
        <f>+D364*C364</f>
        <v>85063.28</v>
      </c>
      <c r="F364" s="686">
        <v>10</v>
      </c>
      <c r="G364" s="445">
        <f>ROUND(E364/F364,0)</f>
        <v>8506</v>
      </c>
      <c r="H364" s="451"/>
      <c r="I364" s="446">
        <f>3500*8</f>
        <v>28000</v>
      </c>
    </row>
    <row r="365" spans="1:9">
      <c r="A365" s="478" t="s">
        <v>101</v>
      </c>
      <c r="B365" s="467"/>
      <c r="C365" s="479">
        <f>PERSONAL!$E$32</f>
        <v>87200</v>
      </c>
      <c r="D365" s="480">
        <f>PERSONAL!$F$31</f>
        <v>1.7431000000000001</v>
      </c>
      <c r="E365" s="440">
        <f>+D365*C365</f>
        <v>151998.32</v>
      </c>
      <c r="F365" s="686">
        <f>+F364</f>
        <v>10</v>
      </c>
      <c r="G365" s="445">
        <f>ROUND(E365/F365,0)</f>
        <v>15200</v>
      </c>
      <c r="H365" s="451"/>
    </row>
    <row r="366" spans="1:9">
      <c r="A366" s="478"/>
      <c r="B366" s="468"/>
      <c r="C366" s="430"/>
      <c r="D366" s="459"/>
      <c r="E366" s="430"/>
      <c r="F366" s="440"/>
      <c r="G366" s="445"/>
      <c r="H366" s="451"/>
    </row>
    <row r="367" spans="1:9">
      <c r="A367" s="478"/>
      <c r="B367" s="468"/>
      <c r="C367" s="430"/>
      <c r="D367" s="459"/>
      <c r="E367" s="430"/>
      <c r="F367" s="440"/>
      <c r="G367" s="445"/>
      <c r="H367" s="451"/>
    </row>
    <row r="368" spans="1:9" ht="13.5" thickBot="1">
      <c r="A368" s="481"/>
      <c r="B368" s="474"/>
      <c r="C368" s="474"/>
      <c r="D368" s="474"/>
      <c r="E368" s="474"/>
      <c r="F368" s="474"/>
      <c r="G368" s="482"/>
      <c r="H368" s="482"/>
    </row>
    <row r="369" spans="1:9" ht="13.5" thickBot="1">
      <c r="A369" s="436"/>
      <c r="B369" s="436"/>
      <c r="C369" s="436"/>
      <c r="D369" s="436"/>
      <c r="E369" s="436"/>
      <c r="F369" s="436"/>
      <c r="G369" s="437" t="s">
        <v>86</v>
      </c>
      <c r="H369" s="466">
        <f>SUM(G364:G368)</f>
        <v>23706</v>
      </c>
      <c r="I369" s="707">
        <f>+H369/H371</f>
        <v>0.23551350059832113</v>
      </c>
    </row>
    <row r="370" spans="1:9" ht="13.5" thickBot="1">
      <c r="A370" s="436"/>
      <c r="B370" s="436"/>
      <c r="C370" s="436"/>
      <c r="D370" s="436"/>
      <c r="E370" s="436"/>
      <c r="F370" s="436"/>
      <c r="G370" s="483"/>
      <c r="H370" s="436"/>
    </row>
    <row r="371" spans="1:9" ht="13.5" thickBot="1">
      <c r="A371" s="436"/>
      <c r="B371" s="436"/>
      <c r="C371" s="436"/>
      <c r="D371" s="436"/>
      <c r="E371" s="484" t="s">
        <v>102</v>
      </c>
      <c r="F371" s="485"/>
      <c r="G371" s="485"/>
      <c r="H371" s="466">
        <f>H347+H356+H361+H369</f>
        <v>100656.65</v>
      </c>
    </row>
    <row r="372" spans="1:9" ht="13.5" thickBot="1">
      <c r="A372" s="450" t="s">
        <v>103</v>
      </c>
      <c r="B372" s="450"/>
      <c r="C372" s="436"/>
      <c r="D372" s="436"/>
      <c r="E372" s="436"/>
      <c r="F372" s="436"/>
      <c r="G372" s="436"/>
      <c r="H372" s="436"/>
    </row>
    <row r="373" spans="1:9">
      <c r="A373" s="487" t="s">
        <v>80</v>
      </c>
      <c r="B373" s="488"/>
      <c r="C373" s="488"/>
      <c r="D373" s="488"/>
      <c r="E373" s="489"/>
      <c r="F373" s="490" t="s">
        <v>104</v>
      </c>
      <c r="G373" s="491" t="s">
        <v>105</v>
      </c>
      <c r="H373" s="457"/>
    </row>
    <row r="374" spans="1:9">
      <c r="A374" s="469" t="s">
        <v>106</v>
      </c>
      <c r="B374" s="467"/>
      <c r="C374" s="467"/>
      <c r="D374" s="467"/>
      <c r="E374" s="468"/>
      <c r="F374" s="492">
        <f>PRESUPUESTO!$E$222</f>
        <v>0.109</v>
      </c>
      <c r="G374" s="493">
        <f>+F374*H371</f>
        <v>10971.574849999999</v>
      </c>
      <c r="H374" s="550"/>
    </row>
    <row r="375" spans="1:9">
      <c r="A375" s="469" t="s">
        <v>107</v>
      </c>
      <c r="B375" s="467"/>
      <c r="C375" s="467"/>
      <c r="D375" s="467"/>
      <c r="E375" s="468"/>
      <c r="F375" s="492">
        <f>PRESUPUESTO!$E$223</f>
        <v>0.05</v>
      </c>
      <c r="G375" s="493">
        <f>+F375*H371</f>
        <v>5032.8325000000004</v>
      </c>
      <c r="H375" s="550"/>
    </row>
    <row r="376" spans="1:9" ht="13.5" thickBot="1">
      <c r="A376" s="472" t="s">
        <v>108</v>
      </c>
      <c r="B376" s="473"/>
      <c r="C376" s="473"/>
      <c r="D376" s="473"/>
      <c r="E376" s="474"/>
      <c r="F376" s="494">
        <v>0</v>
      </c>
      <c r="G376" s="495">
        <f>+F376*H371</f>
        <v>0</v>
      </c>
      <c r="H376" s="465"/>
    </row>
    <row r="377" spans="1:9" ht="13.5" thickBot="1">
      <c r="A377" s="436"/>
      <c r="B377" s="436"/>
      <c r="C377" s="436"/>
      <c r="D377" s="436"/>
      <c r="E377" s="436"/>
      <c r="F377" s="436"/>
      <c r="G377" s="437" t="s">
        <v>86</v>
      </c>
      <c r="H377" s="496">
        <f>SUM(G374:G376)</f>
        <v>16004.407349999999</v>
      </c>
    </row>
    <row r="378" spans="1:9" ht="13.5" thickBot="1">
      <c r="A378" s="436"/>
      <c r="B378" s="436"/>
      <c r="C378" s="436"/>
      <c r="D378" s="436"/>
      <c r="E378" s="436"/>
      <c r="F378" s="436"/>
      <c r="G378" s="436"/>
      <c r="H378" s="436"/>
    </row>
    <row r="379" spans="1:9" ht="13.5" thickBot="1">
      <c r="C379" s="436"/>
      <c r="D379" s="484" t="s">
        <v>109</v>
      </c>
      <c r="E379" s="485"/>
      <c r="F379" s="485"/>
      <c r="G379" s="485"/>
      <c r="H379" s="466">
        <f>ROUND((H371+H377),0)</f>
        <v>116661</v>
      </c>
    </row>
    <row r="381" spans="1:9" ht="15">
      <c r="A381" s="186" t="s">
        <v>77</v>
      </c>
    </row>
    <row r="382" spans="1:9" ht="13.5" thickBot="1"/>
    <row r="383" spans="1:9">
      <c r="A383" s="1348" t="s">
        <v>213</v>
      </c>
      <c r="B383" s="1349"/>
      <c r="C383" s="1350"/>
      <c r="D383" s="448"/>
      <c r="E383" s="448"/>
      <c r="F383" s="448"/>
      <c r="G383" s="448"/>
      <c r="H383" s="449"/>
    </row>
    <row r="384" spans="1:9">
      <c r="A384" s="1351"/>
      <c r="B384" s="1352"/>
      <c r="C384" s="1353"/>
      <c r="D384" s="436"/>
      <c r="E384" s="450" t="s">
        <v>78</v>
      </c>
      <c r="F384" s="436"/>
      <c r="G384" s="436"/>
      <c r="H384" s="451"/>
    </row>
    <row r="385" spans="1:10" ht="13.5" thickBot="1">
      <c r="A385" s="1354"/>
      <c r="B385" s="1355"/>
      <c r="C385" s="1356"/>
      <c r="D385" s="1360"/>
      <c r="E385" s="1361"/>
      <c r="F385" s="1361"/>
      <c r="G385" s="1361"/>
      <c r="H385" s="1362"/>
    </row>
    <row r="386" spans="1:10">
      <c r="A386" s="455"/>
      <c r="B386" s="436"/>
      <c r="C386" s="436"/>
      <c r="D386" s="436"/>
      <c r="E386" s="436"/>
      <c r="F386" s="436"/>
      <c r="G386" s="436"/>
      <c r="H386" s="436"/>
    </row>
    <row r="387" spans="1:10">
      <c r="A387" s="455" t="s">
        <v>547</v>
      </c>
      <c r="B387" s="456"/>
      <c r="C387" s="436"/>
      <c r="E387" s="456"/>
      <c r="G387" s="456" t="s">
        <v>1123</v>
      </c>
      <c r="H387" s="436" t="s">
        <v>1216</v>
      </c>
    </row>
    <row r="388" spans="1:10" s="931" customFormat="1" ht="34.15" customHeight="1">
      <c r="A388" s="928" t="s">
        <v>1122</v>
      </c>
      <c r="B388" s="1375" t="str">
        <f>VLOOKUP(H387,PRESUPUESTO!$A$18:$F$251,2,FALSE)</f>
        <v>Suministro, transporte e instalación de tubería P.V.C-Novafort S8  d=6" o similar.(Incluye los accesorios necesarios para su funcionamiento, Según norma técnica ASTM 2323)</v>
      </c>
      <c r="C388" s="1375"/>
      <c r="D388" s="1375"/>
      <c r="E388" s="1375"/>
      <c r="F388" s="1375"/>
      <c r="G388" s="929" t="s">
        <v>9</v>
      </c>
      <c r="H388" s="1024" t="str">
        <f>VLOOKUP(H387,PRESUPUESTO!$A$18:$F$251,3,FALSE)</f>
        <v>ml</v>
      </c>
    </row>
    <row r="389" spans="1:10">
      <c r="A389" s="456"/>
      <c r="B389" s="456"/>
      <c r="C389" s="436"/>
      <c r="D389" s="456"/>
      <c r="E389" s="456"/>
      <c r="F389" s="456"/>
      <c r="G389" s="456"/>
      <c r="H389" s="436"/>
    </row>
    <row r="390" spans="1:10" ht="13.5" thickBot="1">
      <c r="A390" s="450" t="s">
        <v>79</v>
      </c>
      <c r="B390" s="450"/>
      <c r="C390" s="436"/>
      <c r="D390" s="436"/>
      <c r="E390" s="436"/>
      <c r="F390" s="436"/>
      <c r="G390" s="436"/>
      <c r="H390" s="436"/>
    </row>
    <row r="391" spans="1:10">
      <c r="A391" s="1345" t="s">
        <v>80</v>
      </c>
      <c r="B391" s="1346"/>
      <c r="C391" s="1347"/>
      <c r="D391" s="438" t="s">
        <v>81</v>
      </c>
      <c r="E391" s="438" t="s">
        <v>82</v>
      </c>
      <c r="F391" s="438" t="s">
        <v>83</v>
      </c>
      <c r="G391" s="439" t="s">
        <v>84</v>
      </c>
      <c r="H391" s="457"/>
    </row>
    <row r="392" spans="1:10">
      <c r="A392" s="1357" t="s">
        <v>85</v>
      </c>
      <c r="B392" s="1358"/>
      <c r="C392" s="1359"/>
      <c r="D392" s="459"/>
      <c r="E392" s="440"/>
      <c r="F392" s="440"/>
      <c r="G392" s="432">
        <f>ROUND(H417*0.05,0)</f>
        <v>912</v>
      </c>
      <c r="H392" s="460"/>
    </row>
    <row r="393" spans="1:10">
      <c r="A393" s="1357"/>
      <c r="B393" s="1358"/>
      <c r="C393" s="1359"/>
      <c r="D393" s="461"/>
      <c r="E393" s="462"/>
      <c r="F393" s="440"/>
      <c r="G393" s="432">
        <f>E393*F393</f>
        <v>0</v>
      </c>
      <c r="H393" s="460"/>
    </row>
    <row r="394" spans="1:10" ht="13.5" thickBot="1">
      <c r="A394" s="1342"/>
      <c r="B394" s="1343"/>
      <c r="C394" s="1344"/>
      <c r="D394" s="464"/>
      <c r="E394" s="433"/>
      <c r="F394" s="434"/>
      <c r="G394" s="435"/>
      <c r="H394" s="465"/>
    </row>
    <row r="395" spans="1:10" ht="13.5" thickBot="1">
      <c r="A395" s="436"/>
      <c r="B395" s="436"/>
      <c r="C395" s="436"/>
      <c r="D395" s="436"/>
      <c r="E395" s="436"/>
      <c r="F395" s="436"/>
      <c r="G395" s="437" t="s">
        <v>86</v>
      </c>
      <c r="H395" s="466">
        <f>SUM(G392:G394)</f>
        <v>912</v>
      </c>
    </row>
    <row r="396" spans="1:10" ht="13.5" thickBot="1">
      <c r="A396" s="450" t="s">
        <v>87</v>
      </c>
      <c r="B396" s="450"/>
      <c r="C396" s="436"/>
      <c r="D396" s="436"/>
      <c r="E396" s="436"/>
      <c r="F396" s="436"/>
      <c r="G396" s="436"/>
      <c r="H396" s="436"/>
    </row>
    <row r="397" spans="1:10">
      <c r="A397" s="1345" t="s">
        <v>80</v>
      </c>
      <c r="B397" s="1346"/>
      <c r="C397" s="1347"/>
      <c r="D397" s="438" t="s">
        <v>88</v>
      </c>
      <c r="E397" s="438" t="s">
        <v>89</v>
      </c>
      <c r="F397" s="438" t="s">
        <v>90</v>
      </c>
      <c r="G397" s="439" t="s">
        <v>84</v>
      </c>
      <c r="H397" s="457"/>
    </row>
    <row r="398" spans="1:10">
      <c r="A398" s="458" t="s">
        <v>549</v>
      </c>
      <c r="B398" s="467"/>
      <c r="C398" s="468"/>
      <c r="D398" s="459" t="s">
        <v>271</v>
      </c>
      <c r="E398" s="674">
        <f>MATERIALES!C27/6</f>
        <v>46934.666666666664</v>
      </c>
      <c r="F398" s="440">
        <v>1</v>
      </c>
      <c r="G398" s="432">
        <f>ROUND(F398*E398,0)</f>
        <v>46935</v>
      </c>
      <c r="H398" s="460"/>
    </row>
    <row r="399" spans="1:10">
      <c r="A399" s="469" t="s">
        <v>787</v>
      </c>
      <c r="B399" s="467"/>
      <c r="C399" s="468"/>
      <c r="D399" s="459" t="s">
        <v>173</v>
      </c>
      <c r="E399" s="674">
        <f>4888*1.19</f>
        <v>5816.7199999999993</v>
      </c>
      <c r="F399" s="431">
        <f>1/6</f>
        <v>0.16666666666666666</v>
      </c>
      <c r="G399" s="432">
        <f>ROUND(F399*E399,0)</f>
        <v>969</v>
      </c>
      <c r="H399" s="460"/>
      <c r="I399" s="436"/>
    </row>
    <row r="400" spans="1:10">
      <c r="A400" s="469" t="s">
        <v>793</v>
      </c>
      <c r="B400" s="467"/>
      <c r="C400" s="471"/>
      <c r="D400" s="459" t="s">
        <v>794</v>
      </c>
      <c r="E400" s="674">
        <f>26036*1.19</f>
        <v>30982.84</v>
      </c>
      <c r="F400" s="431">
        <f>1/24</f>
        <v>4.1666666666666664E-2</v>
      </c>
      <c r="G400" s="432">
        <f>ROUND(F400*E400,0)</f>
        <v>1291</v>
      </c>
      <c r="H400" s="460"/>
      <c r="I400" s="436"/>
      <c r="J400" s="436"/>
    </row>
    <row r="401" spans="1:8">
      <c r="A401" s="469" t="s">
        <v>93</v>
      </c>
      <c r="B401" s="467"/>
      <c r="C401" s="471">
        <v>0.05</v>
      </c>
      <c r="D401" s="459"/>
      <c r="E401" s="430"/>
      <c r="F401" s="431"/>
      <c r="G401" s="432">
        <f>SUM(G398:G400)*C401</f>
        <v>2459.75</v>
      </c>
      <c r="H401" s="460"/>
    </row>
    <row r="402" spans="1:8">
      <c r="A402" s="469"/>
      <c r="B402" s="467"/>
      <c r="C402" s="468"/>
      <c r="D402" s="459"/>
      <c r="E402" s="430"/>
      <c r="F402" s="431"/>
      <c r="G402" s="432"/>
      <c r="H402" s="460"/>
    </row>
    <row r="403" spans="1:8" ht="13.5" thickBot="1">
      <c r="A403" s="472"/>
      <c r="B403" s="473"/>
      <c r="C403" s="474"/>
      <c r="D403" s="464"/>
      <c r="E403" s="433"/>
      <c r="F403" s="434"/>
      <c r="G403" s="435"/>
      <c r="H403" s="465"/>
    </row>
    <row r="404" spans="1:8" ht="13.5" thickBot="1">
      <c r="A404" s="436"/>
      <c r="B404" s="436"/>
      <c r="C404" s="436"/>
      <c r="D404" s="436"/>
      <c r="E404" s="436"/>
      <c r="F404" s="436"/>
      <c r="G404" s="437" t="s">
        <v>86</v>
      </c>
      <c r="H404" s="466">
        <f>SUM(G398:G403)</f>
        <v>51654.75</v>
      </c>
    </row>
    <row r="405" spans="1:8" ht="13.5" thickBot="1">
      <c r="A405" s="450" t="s">
        <v>94</v>
      </c>
      <c r="B405" s="450"/>
      <c r="C405" s="436"/>
      <c r="D405" s="436"/>
      <c r="E405" s="436"/>
      <c r="F405" s="436"/>
      <c r="G405" s="436"/>
      <c r="H405" s="436"/>
    </row>
    <row r="406" spans="1:8">
      <c r="A406" s="1345" t="s">
        <v>95</v>
      </c>
      <c r="B406" s="1346"/>
      <c r="C406" s="1347"/>
      <c r="D406" s="438" t="s">
        <v>88</v>
      </c>
      <c r="E406" s="438" t="s">
        <v>89</v>
      </c>
      <c r="F406" s="438" t="s">
        <v>90</v>
      </c>
      <c r="G406" s="439" t="s">
        <v>84</v>
      </c>
      <c r="H406" s="457"/>
    </row>
    <row r="407" spans="1:8">
      <c r="A407" s="458" t="s">
        <v>546</v>
      </c>
      <c r="B407" s="467"/>
      <c r="C407" s="468"/>
      <c r="D407" s="459" t="s">
        <v>271</v>
      </c>
      <c r="E407" s="430">
        <v>2100</v>
      </c>
      <c r="F407" s="440">
        <v>0</v>
      </c>
      <c r="G407" s="440">
        <f>E407*F407</f>
        <v>0</v>
      </c>
      <c r="H407" s="460"/>
    </row>
    <row r="408" spans="1:8" ht="13.5" thickBot="1">
      <c r="A408" s="1342" t="s">
        <v>235</v>
      </c>
      <c r="B408" s="1343"/>
      <c r="C408" s="1344"/>
      <c r="D408" s="475" t="s">
        <v>271</v>
      </c>
      <c r="E408" s="433">
        <v>2000</v>
      </c>
      <c r="F408" s="434">
        <v>1</v>
      </c>
      <c r="G408" s="441">
        <f>+F408*E408</f>
        <v>2000</v>
      </c>
      <c r="H408" s="460"/>
    </row>
    <row r="409" spans="1:8" ht="13.5" thickBot="1">
      <c r="A409" s="436"/>
      <c r="B409" s="436"/>
      <c r="C409" s="436"/>
      <c r="D409" s="436"/>
      <c r="E409" s="436"/>
      <c r="F409" s="436"/>
      <c r="G409" s="437" t="s">
        <v>86</v>
      </c>
      <c r="H409" s="466">
        <f>SUM(G407:G408)</f>
        <v>2000</v>
      </c>
    </row>
    <row r="410" spans="1:8" ht="13.5" thickBot="1">
      <c r="A410" s="450" t="s">
        <v>96</v>
      </c>
      <c r="B410" s="450"/>
      <c r="C410" s="436"/>
      <c r="D410" s="436"/>
      <c r="E410" s="436"/>
      <c r="F410" s="436"/>
      <c r="G410" s="436"/>
      <c r="H410" s="436"/>
    </row>
    <row r="411" spans="1:8">
      <c r="A411" s="476" t="s">
        <v>97</v>
      </c>
      <c r="B411" s="438"/>
      <c r="C411" s="438" t="s">
        <v>98</v>
      </c>
      <c r="D411" s="438" t="s">
        <v>99</v>
      </c>
      <c r="E411" s="442" t="s">
        <v>100</v>
      </c>
      <c r="F411" s="443" t="s">
        <v>83</v>
      </c>
      <c r="G411" s="444" t="s">
        <v>84</v>
      </c>
      <c r="H411" s="477"/>
    </row>
    <row r="412" spans="1:8">
      <c r="A412" s="478" t="s">
        <v>227</v>
      </c>
      <c r="B412" s="468"/>
      <c r="C412" s="479">
        <f>PERSONAL!$E$31</f>
        <v>48800</v>
      </c>
      <c r="D412" s="480">
        <f>PERSONAL!$F$31</f>
        <v>1.7431000000000001</v>
      </c>
      <c r="E412" s="440">
        <f>+D412*C412</f>
        <v>85063.28</v>
      </c>
      <c r="F412" s="686">
        <v>13</v>
      </c>
      <c r="G412" s="445">
        <f>ROUND(E412/F412,0)</f>
        <v>6543</v>
      </c>
      <c r="H412" s="451"/>
    </row>
    <row r="413" spans="1:8">
      <c r="A413" s="478" t="s">
        <v>101</v>
      </c>
      <c r="B413" s="467"/>
      <c r="C413" s="479">
        <f>PERSONAL!$E$32</f>
        <v>87200</v>
      </c>
      <c r="D413" s="480">
        <f>PERSONAL!$F$31</f>
        <v>1.7431000000000001</v>
      </c>
      <c r="E413" s="440">
        <f>+D413*C413</f>
        <v>151998.32</v>
      </c>
      <c r="F413" s="686">
        <f>+F412</f>
        <v>13</v>
      </c>
      <c r="G413" s="445">
        <f>ROUND(E413/F413,0)</f>
        <v>11692</v>
      </c>
      <c r="H413" s="451"/>
    </row>
    <row r="414" spans="1:8">
      <c r="A414" s="478"/>
      <c r="B414" s="468"/>
      <c r="C414" s="430"/>
      <c r="D414" s="459"/>
      <c r="E414" s="430"/>
      <c r="F414" s="440"/>
      <c r="G414" s="445"/>
      <c r="H414" s="451"/>
    </row>
    <row r="415" spans="1:8">
      <c r="A415" s="478"/>
      <c r="B415" s="468"/>
      <c r="C415" s="430"/>
      <c r="D415" s="459"/>
      <c r="E415" s="430"/>
      <c r="F415" s="440"/>
      <c r="G415" s="445"/>
      <c r="H415" s="451"/>
    </row>
    <row r="416" spans="1:8" ht="13.5" thickBot="1">
      <c r="A416" s="481"/>
      <c r="B416" s="474"/>
      <c r="C416" s="474"/>
      <c r="D416" s="474"/>
      <c r="E416" s="474"/>
      <c r="F416" s="474"/>
      <c r="G416" s="482"/>
      <c r="H416" s="482"/>
    </row>
    <row r="417" spans="1:9" ht="13.5" thickBot="1">
      <c r="A417" s="436"/>
      <c r="B417" s="436"/>
      <c r="C417" s="436"/>
      <c r="D417" s="436"/>
      <c r="E417" s="436"/>
      <c r="F417" s="436"/>
      <c r="G417" s="437" t="s">
        <v>86</v>
      </c>
      <c r="H417" s="466">
        <f>SUM(G412:G416)</f>
        <v>18235</v>
      </c>
      <c r="I417" s="541"/>
    </row>
    <row r="418" spans="1:9" ht="13.5" thickBot="1">
      <c r="A418" s="436"/>
      <c r="B418" s="436"/>
      <c r="C418" s="436"/>
      <c r="D418" s="436"/>
      <c r="E418" s="436"/>
      <c r="F418" s="436"/>
      <c r="G418" s="483"/>
      <c r="H418" s="436"/>
    </row>
    <row r="419" spans="1:9" ht="13.5" thickBot="1">
      <c r="A419" s="436"/>
      <c r="B419" s="436"/>
      <c r="C419" s="436"/>
      <c r="D419" s="436"/>
      <c r="E419" s="484" t="s">
        <v>102</v>
      </c>
      <c r="F419" s="485"/>
      <c r="G419" s="485"/>
      <c r="H419" s="466">
        <f>H395+H404+H409+H417</f>
        <v>72801.75</v>
      </c>
    </row>
    <row r="420" spans="1:9" ht="13.5" thickBot="1">
      <c r="A420" s="450" t="s">
        <v>103</v>
      </c>
      <c r="B420" s="450"/>
      <c r="C420" s="436"/>
      <c r="D420" s="436"/>
      <c r="E420" s="436"/>
      <c r="F420" s="436"/>
      <c r="G420" s="436"/>
      <c r="H420" s="436"/>
    </row>
    <row r="421" spans="1:9">
      <c r="A421" s="487" t="s">
        <v>80</v>
      </c>
      <c r="B421" s="488"/>
      <c r="C421" s="488"/>
      <c r="D421" s="488"/>
      <c r="E421" s="489"/>
      <c r="F421" s="490" t="s">
        <v>104</v>
      </c>
      <c r="G421" s="491" t="s">
        <v>105</v>
      </c>
      <c r="H421" s="457"/>
    </row>
    <row r="422" spans="1:9">
      <c r="A422" s="469" t="s">
        <v>106</v>
      </c>
      <c r="B422" s="467"/>
      <c r="C422" s="467"/>
      <c r="D422" s="467"/>
      <c r="E422" s="468"/>
      <c r="F422" s="492">
        <f>PRESUPUESTO!$E$222</f>
        <v>0.109</v>
      </c>
      <c r="G422" s="493">
        <f>+F422*H419</f>
        <v>7935.3907499999996</v>
      </c>
      <c r="H422" s="550"/>
    </row>
    <row r="423" spans="1:9">
      <c r="A423" s="469" t="s">
        <v>107</v>
      </c>
      <c r="B423" s="467"/>
      <c r="C423" s="467"/>
      <c r="D423" s="467"/>
      <c r="E423" s="468"/>
      <c r="F423" s="492">
        <f>PRESUPUESTO!$E$223</f>
        <v>0.05</v>
      </c>
      <c r="G423" s="493">
        <f>+F423*H419</f>
        <v>3640.0875000000001</v>
      </c>
      <c r="H423" s="550"/>
    </row>
    <row r="424" spans="1:9" ht="13.5" thickBot="1">
      <c r="A424" s="472" t="s">
        <v>108</v>
      </c>
      <c r="B424" s="473"/>
      <c r="C424" s="473"/>
      <c r="D424" s="473"/>
      <c r="E424" s="474"/>
      <c r="F424" s="494">
        <v>0</v>
      </c>
      <c r="G424" s="495">
        <f>+F424*H419</f>
        <v>0</v>
      </c>
      <c r="H424" s="465"/>
    </row>
    <row r="425" spans="1:9" ht="13.5" thickBot="1">
      <c r="A425" s="436"/>
      <c r="B425" s="436"/>
      <c r="C425" s="436"/>
      <c r="D425" s="436"/>
      <c r="E425" s="436"/>
      <c r="F425" s="436"/>
      <c r="G425" s="437" t="s">
        <v>86</v>
      </c>
      <c r="H425" s="496">
        <f>SUM(G422:G424)</f>
        <v>11575.47825</v>
      </c>
    </row>
    <row r="426" spans="1:9" ht="13.5" thickBot="1">
      <c r="A426" s="436"/>
      <c r="B426" s="436"/>
      <c r="C426" s="436"/>
      <c r="D426" s="436"/>
      <c r="E426" s="436"/>
      <c r="F426" s="436"/>
      <c r="G426" s="436"/>
      <c r="H426" s="436"/>
    </row>
    <row r="427" spans="1:9" ht="13.5" thickBot="1">
      <c r="C427" s="436"/>
      <c r="D427" s="484" t="s">
        <v>109</v>
      </c>
      <c r="E427" s="485"/>
      <c r="F427" s="485"/>
      <c r="G427" s="485"/>
      <c r="H427" s="466">
        <f>ROUND((H419+H425),0)</f>
        <v>84377</v>
      </c>
    </row>
    <row r="429" spans="1:9" ht="15">
      <c r="A429" s="186" t="s">
        <v>77</v>
      </c>
    </row>
    <row r="430" spans="1:9" ht="13.5" thickBot="1"/>
    <row r="431" spans="1:9">
      <c r="A431" s="1348" t="s">
        <v>213</v>
      </c>
      <c r="B431" s="1349"/>
      <c r="C431" s="1350"/>
      <c r="D431" s="448"/>
      <c r="E431" s="448"/>
      <c r="F431" s="448"/>
      <c r="G431" s="448"/>
      <c r="H431" s="449"/>
    </row>
    <row r="432" spans="1:9">
      <c r="A432" s="1351"/>
      <c r="B432" s="1352"/>
      <c r="C432" s="1353"/>
      <c r="D432" s="436"/>
      <c r="E432" s="450" t="s">
        <v>78</v>
      </c>
      <c r="F432" s="436"/>
      <c r="G432" s="436"/>
      <c r="H432" s="451"/>
    </row>
    <row r="433" spans="1:8" ht="13.5" thickBot="1">
      <c r="A433" s="1354"/>
      <c r="B433" s="1355"/>
      <c r="C433" s="1356"/>
      <c r="D433" s="1360"/>
      <c r="E433" s="1361"/>
      <c r="F433" s="1361"/>
      <c r="G433" s="1361"/>
      <c r="H433" s="1362"/>
    </row>
    <row r="434" spans="1:8">
      <c r="A434" s="455"/>
      <c r="B434" s="436"/>
      <c r="C434" s="436"/>
      <c r="D434" s="436"/>
      <c r="E434" s="436"/>
      <c r="F434" s="436"/>
      <c r="G434" s="436"/>
      <c r="H434" s="436"/>
    </row>
    <row r="435" spans="1:8">
      <c r="A435" s="455" t="s">
        <v>547</v>
      </c>
      <c r="B435" s="456"/>
      <c r="C435" s="436"/>
      <c r="E435" s="456"/>
      <c r="G435" s="456" t="s">
        <v>1123</v>
      </c>
      <c r="H435" s="436" t="s">
        <v>1217</v>
      </c>
    </row>
    <row r="436" spans="1:8" s="931" customFormat="1" ht="34.15" customHeight="1">
      <c r="A436" s="928" t="s">
        <v>1122</v>
      </c>
      <c r="B436" s="1375" t="str">
        <f>VLOOKUP(H435,PRESUPUESTO!$A$18:$F$251,2,FALSE)</f>
        <v>Suministro, transporte e instalación de tubería P.V.C-Sanitaria d=4" o similar.(Incluye los accesorios necesarios para su funcionamiento, Según norma técnica ASTM 2324)</v>
      </c>
      <c r="C436" s="1375"/>
      <c r="D436" s="1375"/>
      <c r="E436" s="1375"/>
      <c r="F436" s="1375"/>
      <c r="G436" s="929" t="s">
        <v>9</v>
      </c>
      <c r="H436" s="1024" t="str">
        <f>VLOOKUP(H435,PRESUPUESTO!$A$18:$F$251,3,FALSE)</f>
        <v>ml</v>
      </c>
    </row>
    <row r="437" spans="1:8">
      <c r="A437" s="456"/>
      <c r="B437" s="456"/>
      <c r="C437" s="436"/>
      <c r="D437" s="456"/>
      <c r="E437" s="456"/>
      <c r="F437" s="456"/>
      <c r="G437" s="456"/>
      <c r="H437" s="436"/>
    </row>
    <row r="438" spans="1:8" ht="13.5" thickBot="1">
      <c r="A438" s="450" t="s">
        <v>79</v>
      </c>
      <c r="B438" s="450"/>
      <c r="C438" s="436"/>
      <c r="D438" s="436"/>
      <c r="E438" s="436"/>
      <c r="F438" s="436"/>
      <c r="G438" s="436"/>
      <c r="H438" s="436"/>
    </row>
    <row r="439" spans="1:8">
      <c r="A439" s="1345" t="s">
        <v>80</v>
      </c>
      <c r="B439" s="1346"/>
      <c r="C439" s="1347"/>
      <c r="D439" s="438" t="s">
        <v>81</v>
      </c>
      <c r="E439" s="438" t="s">
        <v>82</v>
      </c>
      <c r="F439" s="438" t="s">
        <v>83</v>
      </c>
      <c r="G439" s="439" t="s">
        <v>84</v>
      </c>
      <c r="H439" s="457"/>
    </row>
    <row r="440" spans="1:8">
      <c r="A440" s="1357" t="s">
        <v>85</v>
      </c>
      <c r="B440" s="1358"/>
      <c r="C440" s="1359"/>
      <c r="D440" s="459"/>
      <c r="E440" s="440"/>
      <c r="F440" s="440"/>
      <c r="G440" s="432">
        <f>ROUND(H469*0.05,0)</f>
        <v>593</v>
      </c>
      <c r="H440" s="460"/>
    </row>
    <row r="441" spans="1:8">
      <c r="A441" s="1357"/>
      <c r="B441" s="1358"/>
      <c r="C441" s="1359"/>
      <c r="D441" s="461"/>
      <c r="E441" s="462"/>
      <c r="F441" s="440"/>
      <c r="G441" s="432">
        <f>E441*F441</f>
        <v>0</v>
      </c>
      <c r="H441" s="460"/>
    </row>
    <row r="442" spans="1:8" ht="13.5" thickBot="1">
      <c r="A442" s="1342"/>
      <c r="B442" s="1343"/>
      <c r="C442" s="1344"/>
      <c r="D442" s="464"/>
      <c r="E442" s="433"/>
      <c r="F442" s="434"/>
      <c r="G442" s="435"/>
      <c r="H442" s="465"/>
    </row>
    <row r="443" spans="1:8" ht="13.5" thickBot="1">
      <c r="A443" s="436"/>
      <c r="B443" s="436"/>
      <c r="C443" s="436"/>
      <c r="D443" s="436"/>
      <c r="E443" s="436"/>
      <c r="F443" s="436"/>
      <c r="G443" s="437" t="s">
        <v>86</v>
      </c>
      <c r="H443" s="466">
        <f>SUM(G440:G442)</f>
        <v>593</v>
      </c>
    </row>
    <row r="444" spans="1:8" ht="13.5" thickBot="1">
      <c r="A444" s="450" t="s">
        <v>87</v>
      </c>
      <c r="B444" s="450"/>
      <c r="C444" s="436"/>
      <c r="D444" s="436"/>
      <c r="E444" s="436"/>
      <c r="F444" s="436"/>
      <c r="G444" s="436"/>
      <c r="H444" s="436"/>
    </row>
    <row r="445" spans="1:8">
      <c r="A445" s="1345" t="s">
        <v>80</v>
      </c>
      <c r="B445" s="1346"/>
      <c r="C445" s="1347"/>
      <c r="D445" s="438" t="s">
        <v>88</v>
      </c>
      <c r="E445" s="438" t="s">
        <v>89</v>
      </c>
      <c r="F445" s="438" t="s">
        <v>90</v>
      </c>
      <c r="G445" s="439" t="s">
        <v>84</v>
      </c>
      <c r="H445" s="457"/>
    </row>
    <row r="446" spans="1:8">
      <c r="A446" s="458" t="s">
        <v>590</v>
      </c>
      <c r="B446" s="467"/>
      <c r="C446" s="468"/>
      <c r="D446" s="459" t="s">
        <v>271</v>
      </c>
      <c r="E446" s="674">
        <f>176175*1.19/6</f>
        <v>34941.375</v>
      </c>
      <c r="F446" s="440">
        <v>1</v>
      </c>
      <c r="G446" s="432">
        <f t="shared" ref="G446:G452" si="7">ROUND(F446*E446,0)</f>
        <v>34941</v>
      </c>
      <c r="H446" s="460"/>
    </row>
    <row r="447" spans="1:8">
      <c r="A447" s="469" t="s">
        <v>684</v>
      </c>
      <c r="B447" s="467"/>
      <c r="C447" s="468"/>
      <c r="D447" s="459" t="s">
        <v>173</v>
      </c>
      <c r="E447" s="674">
        <f>15007*1.19</f>
        <v>17858.329999999998</v>
      </c>
      <c r="F447" s="431">
        <v>0.1</v>
      </c>
      <c r="G447" s="432">
        <f t="shared" si="7"/>
        <v>1786</v>
      </c>
      <c r="H447" s="460"/>
    </row>
    <row r="448" spans="1:8">
      <c r="A448" s="469" t="s">
        <v>685</v>
      </c>
      <c r="B448" s="467"/>
      <c r="C448" s="468"/>
      <c r="D448" s="459" t="s">
        <v>173</v>
      </c>
      <c r="E448" s="674">
        <f>30553*1.19</f>
        <v>36358.07</v>
      </c>
      <c r="F448" s="431">
        <f>+F447</f>
        <v>0.1</v>
      </c>
      <c r="G448" s="432">
        <f t="shared" si="7"/>
        <v>3636</v>
      </c>
      <c r="H448" s="460"/>
    </row>
    <row r="449" spans="1:8">
      <c r="A449" s="469" t="s">
        <v>686</v>
      </c>
      <c r="B449" s="467"/>
      <c r="C449" s="468"/>
      <c r="D449" s="459" t="s">
        <v>173</v>
      </c>
      <c r="E449" s="674">
        <f>19878*1.19</f>
        <v>23654.82</v>
      </c>
      <c r="F449" s="431">
        <f>+F448</f>
        <v>0.1</v>
      </c>
      <c r="G449" s="432">
        <f t="shared" si="7"/>
        <v>2365</v>
      </c>
      <c r="H449" s="460"/>
    </row>
    <row r="450" spans="1:8">
      <c r="A450" s="469" t="s">
        <v>788</v>
      </c>
      <c r="B450" s="467"/>
      <c r="C450" s="468"/>
      <c r="D450" s="459" t="s">
        <v>791</v>
      </c>
      <c r="E450" s="674">
        <f>55389*1.19</f>
        <v>65912.91</v>
      </c>
      <c r="F450" s="431">
        <f>1/35</f>
        <v>2.8571428571428571E-2</v>
      </c>
      <c r="G450" s="432">
        <f t="shared" si="7"/>
        <v>1883</v>
      </c>
      <c r="H450" s="460"/>
    </row>
    <row r="451" spans="1:8">
      <c r="A451" s="469" t="s">
        <v>789</v>
      </c>
      <c r="B451" s="467"/>
      <c r="C451" s="468"/>
      <c r="D451" s="459" t="s">
        <v>791</v>
      </c>
      <c r="E451" s="674">
        <f>114873*1.19</f>
        <v>136698.87</v>
      </c>
      <c r="F451" s="431">
        <f>+F450/2</f>
        <v>1.4285714285714285E-2</v>
      </c>
      <c r="G451" s="432">
        <f t="shared" si="7"/>
        <v>1953</v>
      </c>
      <c r="H451" s="460"/>
    </row>
    <row r="452" spans="1:8">
      <c r="A452" s="469" t="s">
        <v>792</v>
      </c>
      <c r="B452" s="467"/>
      <c r="C452" s="468"/>
      <c r="D452" s="459" t="s">
        <v>790</v>
      </c>
      <c r="E452" s="674">
        <v>2719</v>
      </c>
      <c r="F452" s="431">
        <f>1/20</f>
        <v>0.05</v>
      </c>
      <c r="G452" s="432">
        <f t="shared" si="7"/>
        <v>136</v>
      </c>
      <c r="H452" s="460"/>
    </row>
    <row r="453" spans="1:8">
      <c r="A453" s="469" t="s">
        <v>93</v>
      </c>
      <c r="B453" s="467"/>
      <c r="C453" s="471">
        <v>0.05</v>
      </c>
      <c r="D453" s="459"/>
      <c r="E453" s="430"/>
      <c r="F453" s="431"/>
      <c r="G453" s="432">
        <f>SUM(G446:G452)*C453</f>
        <v>2335</v>
      </c>
      <c r="H453" s="460"/>
    </row>
    <row r="454" spans="1:8">
      <c r="A454" s="469"/>
      <c r="B454" s="467"/>
      <c r="C454" s="468"/>
      <c r="D454" s="459"/>
      <c r="E454" s="430"/>
      <c r="F454" s="431"/>
      <c r="G454" s="432"/>
      <c r="H454" s="460"/>
    </row>
    <row r="455" spans="1:8" ht="13.5" thickBot="1">
      <c r="A455" s="472"/>
      <c r="B455" s="473"/>
      <c r="C455" s="474"/>
      <c r="D455" s="464"/>
      <c r="E455" s="433"/>
      <c r="F455" s="434"/>
      <c r="G455" s="435"/>
      <c r="H455" s="465"/>
    </row>
    <row r="456" spans="1:8" ht="13.5" thickBot="1">
      <c r="A456" s="436"/>
      <c r="B456" s="436"/>
      <c r="C456" s="436"/>
      <c r="D456" s="436"/>
      <c r="E456" s="436"/>
      <c r="F456" s="436"/>
      <c r="G456" s="437" t="s">
        <v>86</v>
      </c>
      <c r="H456" s="466">
        <f>SUM(G446:G455)</f>
        <v>49035</v>
      </c>
    </row>
    <row r="457" spans="1:8" ht="13.5" thickBot="1">
      <c r="A457" s="450" t="s">
        <v>94</v>
      </c>
      <c r="B457" s="450"/>
      <c r="C457" s="436"/>
      <c r="D457" s="436"/>
      <c r="E457" s="436"/>
      <c r="F457" s="436"/>
      <c r="G457" s="436"/>
      <c r="H457" s="436"/>
    </row>
    <row r="458" spans="1:8">
      <c r="A458" s="1345" t="s">
        <v>95</v>
      </c>
      <c r="B458" s="1346"/>
      <c r="C458" s="1347"/>
      <c r="D458" s="438" t="s">
        <v>88</v>
      </c>
      <c r="E458" s="438" t="s">
        <v>89</v>
      </c>
      <c r="F458" s="438" t="s">
        <v>90</v>
      </c>
      <c r="G458" s="439" t="s">
        <v>84</v>
      </c>
      <c r="H458" s="457"/>
    </row>
    <row r="459" spans="1:8">
      <c r="A459" s="458"/>
      <c r="B459" s="467"/>
      <c r="C459" s="468"/>
      <c r="D459" s="459"/>
      <c r="E459" s="430"/>
      <c r="F459" s="440"/>
      <c r="G459" s="440"/>
      <c r="H459" s="460"/>
    </row>
    <row r="460" spans="1:8" ht="13.5" thickBot="1">
      <c r="A460" s="1342" t="s">
        <v>235</v>
      </c>
      <c r="B460" s="1343"/>
      <c r="C460" s="1344"/>
      <c r="D460" s="475" t="s">
        <v>271</v>
      </c>
      <c r="E460" s="433">
        <v>2000</v>
      </c>
      <c r="F460" s="434">
        <v>1</v>
      </c>
      <c r="G460" s="441">
        <f>+F460*E460</f>
        <v>2000</v>
      </c>
      <c r="H460" s="460"/>
    </row>
    <row r="461" spans="1:8" ht="13.5" thickBot="1">
      <c r="A461" s="436"/>
      <c r="B461" s="436"/>
      <c r="C461" s="436"/>
      <c r="D461" s="436"/>
      <c r="E461" s="436"/>
      <c r="F461" s="436"/>
      <c r="G461" s="437" t="s">
        <v>86</v>
      </c>
      <c r="H461" s="466">
        <f>SUM(G459:G460)</f>
        <v>2000</v>
      </c>
    </row>
    <row r="462" spans="1:8" ht="13.5" thickBot="1">
      <c r="A462" s="450" t="s">
        <v>96</v>
      </c>
      <c r="B462" s="450"/>
      <c r="C462" s="436"/>
      <c r="D462" s="436"/>
      <c r="E462" s="436"/>
      <c r="F462" s="436"/>
      <c r="G462" s="436"/>
      <c r="H462" s="436"/>
    </row>
    <row r="463" spans="1:8">
      <c r="A463" s="476" t="s">
        <v>97</v>
      </c>
      <c r="B463" s="438"/>
      <c r="C463" s="438" t="s">
        <v>98</v>
      </c>
      <c r="D463" s="438" t="s">
        <v>99</v>
      </c>
      <c r="E463" s="442" t="s">
        <v>100</v>
      </c>
      <c r="F463" s="443" t="s">
        <v>83</v>
      </c>
      <c r="G463" s="444" t="s">
        <v>84</v>
      </c>
      <c r="H463" s="477"/>
    </row>
    <row r="464" spans="1:8">
      <c r="A464" s="478" t="s">
        <v>227</v>
      </c>
      <c r="B464" s="468"/>
      <c r="C464" s="479">
        <f>PERSONAL!$E$31</f>
        <v>48800</v>
      </c>
      <c r="D464" s="480">
        <f>PERSONAL!$F$31</f>
        <v>1.7431000000000001</v>
      </c>
      <c r="E464" s="440">
        <f>+D464*C464</f>
        <v>85063.28</v>
      </c>
      <c r="F464" s="686">
        <v>20</v>
      </c>
      <c r="G464" s="445">
        <f>ROUND(E464/F464,0)</f>
        <v>4253</v>
      </c>
      <c r="H464" s="451"/>
    </row>
    <row r="465" spans="1:9">
      <c r="A465" s="478" t="s">
        <v>101</v>
      </c>
      <c r="B465" s="467"/>
      <c r="C465" s="479">
        <f>PERSONAL!$E$32</f>
        <v>87200</v>
      </c>
      <c r="D465" s="480">
        <f>PERSONAL!$F$31</f>
        <v>1.7431000000000001</v>
      </c>
      <c r="E465" s="440">
        <f>+D465*C465</f>
        <v>151998.32</v>
      </c>
      <c r="F465" s="686">
        <f>+F464</f>
        <v>20</v>
      </c>
      <c r="G465" s="445">
        <f>ROUND(E465/F465,0)</f>
        <v>7600</v>
      </c>
      <c r="H465" s="451"/>
    </row>
    <row r="466" spans="1:9">
      <c r="A466" s="478"/>
      <c r="B466" s="468"/>
      <c r="C466" s="430"/>
      <c r="D466" s="459"/>
      <c r="E466" s="430"/>
      <c r="F466" s="440"/>
      <c r="G466" s="445"/>
      <c r="H466" s="451"/>
    </row>
    <row r="467" spans="1:9">
      <c r="A467" s="478"/>
      <c r="B467" s="468"/>
      <c r="C467" s="430"/>
      <c r="D467" s="459"/>
      <c r="E467" s="430"/>
      <c r="F467" s="440"/>
      <c r="G467" s="445"/>
      <c r="H467" s="451"/>
    </row>
    <row r="468" spans="1:9" ht="13.5" thickBot="1">
      <c r="A468" s="481"/>
      <c r="B468" s="474"/>
      <c r="C468" s="474"/>
      <c r="D468" s="474"/>
      <c r="E468" s="474"/>
      <c r="F468" s="474"/>
      <c r="G468" s="482"/>
      <c r="H468" s="482"/>
    </row>
    <row r="469" spans="1:9" ht="13.5" thickBot="1">
      <c r="A469" s="436"/>
      <c r="B469" s="436"/>
      <c r="C469" s="436"/>
      <c r="D469" s="436"/>
      <c r="E469" s="436"/>
      <c r="F469" s="436"/>
      <c r="G469" s="437" t="s">
        <v>86</v>
      </c>
      <c r="H469" s="466">
        <f>SUM(G464:G468)</f>
        <v>11853</v>
      </c>
    </row>
    <row r="470" spans="1:9" ht="13.5" thickBot="1">
      <c r="A470" s="436"/>
      <c r="B470" s="436"/>
      <c r="C470" s="436"/>
      <c r="D470" s="436"/>
      <c r="E470" s="436"/>
      <c r="F470" s="436"/>
      <c r="G470" s="483"/>
      <c r="H470" s="436"/>
    </row>
    <row r="471" spans="1:9" ht="13.5" thickBot="1">
      <c r="A471" s="436"/>
      <c r="B471" s="436"/>
      <c r="C471" s="436"/>
      <c r="D471" s="436"/>
      <c r="E471" s="484" t="s">
        <v>102</v>
      </c>
      <c r="F471" s="485"/>
      <c r="G471" s="485"/>
      <c r="H471" s="466">
        <f>H443+H456+H461+H469</f>
        <v>63481</v>
      </c>
      <c r="I471" s="541"/>
    </row>
    <row r="472" spans="1:9" ht="13.5" thickBot="1">
      <c r="A472" s="450" t="s">
        <v>103</v>
      </c>
      <c r="B472" s="450"/>
      <c r="C472" s="436"/>
      <c r="D472" s="436"/>
      <c r="E472" s="436"/>
      <c r="F472" s="436"/>
      <c r="G472" s="436"/>
      <c r="H472" s="436"/>
    </row>
    <row r="473" spans="1:9">
      <c r="A473" s="487" t="s">
        <v>80</v>
      </c>
      <c r="B473" s="488"/>
      <c r="C473" s="488"/>
      <c r="D473" s="488"/>
      <c r="E473" s="489"/>
      <c r="F473" s="490" t="s">
        <v>104</v>
      </c>
      <c r="G473" s="491" t="s">
        <v>105</v>
      </c>
      <c r="H473" s="457"/>
    </row>
    <row r="474" spans="1:9">
      <c r="A474" s="469" t="s">
        <v>106</v>
      </c>
      <c r="B474" s="467"/>
      <c r="C474" s="467"/>
      <c r="D474" s="467"/>
      <c r="E474" s="468"/>
      <c r="F474" s="492">
        <f>+'CALCULO AU'!C37</f>
        <v>0.109</v>
      </c>
      <c r="G474" s="493">
        <f>+F474*H471</f>
        <v>6919.4290000000001</v>
      </c>
      <c r="H474" s="550"/>
    </row>
    <row r="475" spans="1:9">
      <c r="A475" s="469" t="s">
        <v>107</v>
      </c>
      <c r="B475" s="467"/>
      <c r="C475" s="467"/>
      <c r="D475" s="467"/>
      <c r="E475" s="468"/>
      <c r="F475" s="492">
        <f>PRESUPUESTO!$E$223</f>
        <v>0.05</v>
      </c>
      <c r="G475" s="493">
        <f>+F475*H471</f>
        <v>3174.05</v>
      </c>
      <c r="H475" s="550"/>
    </row>
    <row r="476" spans="1:9" ht="13.5" thickBot="1">
      <c r="A476" s="472" t="s">
        <v>108</v>
      </c>
      <c r="B476" s="473"/>
      <c r="C476" s="473"/>
      <c r="D476" s="473"/>
      <c r="E476" s="474"/>
      <c r="F476" s="494">
        <v>0</v>
      </c>
      <c r="G476" s="495">
        <f>+F476*H471</f>
        <v>0</v>
      </c>
      <c r="H476" s="465"/>
    </row>
    <row r="477" spans="1:9" ht="13.5" thickBot="1">
      <c r="A477" s="436"/>
      <c r="B477" s="436"/>
      <c r="C477" s="436"/>
      <c r="D477" s="436"/>
      <c r="E477" s="436"/>
      <c r="F477" s="436"/>
      <c r="G477" s="437" t="s">
        <v>86</v>
      </c>
      <c r="H477" s="496">
        <f>SUM(G474:G476)</f>
        <v>10093.478999999999</v>
      </c>
    </row>
    <row r="478" spans="1:9" ht="13.5" thickBot="1">
      <c r="A478" s="436"/>
      <c r="B478" s="436"/>
      <c r="C478" s="436"/>
      <c r="D478" s="436"/>
      <c r="E478" s="436"/>
      <c r="F478" s="436"/>
      <c r="G478" s="436"/>
      <c r="H478" s="436"/>
    </row>
    <row r="479" spans="1:9" ht="13.5" thickBot="1">
      <c r="C479" s="436"/>
      <c r="D479" s="484" t="s">
        <v>109</v>
      </c>
      <c r="E479" s="485"/>
      <c r="F479" s="485"/>
      <c r="G479" s="485"/>
      <c r="H479" s="466">
        <f>ROUND((H471+H477),0)</f>
        <v>73574</v>
      </c>
    </row>
    <row r="480" spans="1:9" ht="13.5" thickBot="1"/>
    <row r="481" spans="1:8">
      <c r="A481" s="1348" t="s">
        <v>213</v>
      </c>
      <c r="B481" s="1349"/>
      <c r="C481" s="1350"/>
      <c r="D481" s="448"/>
      <c r="E481" s="448"/>
      <c r="F481" s="448"/>
      <c r="G481" s="448"/>
      <c r="H481" s="449"/>
    </row>
    <row r="482" spans="1:8">
      <c r="A482" s="1351"/>
      <c r="B482" s="1352"/>
      <c r="C482" s="1353"/>
      <c r="D482" s="436"/>
      <c r="E482" s="450" t="s">
        <v>78</v>
      </c>
      <c r="F482" s="436"/>
      <c r="G482" s="436"/>
      <c r="H482" s="451"/>
    </row>
    <row r="483" spans="1:8" ht="13.5" thickBot="1">
      <c r="A483" s="1354"/>
      <c r="B483" s="1355"/>
      <c r="C483" s="1356"/>
      <c r="D483" s="1360"/>
      <c r="E483" s="1361"/>
      <c r="F483" s="1361"/>
      <c r="G483" s="1361"/>
      <c r="H483" s="1362"/>
    </row>
    <row r="484" spans="1:8">
      <c r="A484" s="455"/>
      <c r="B484" s="436"/>
      <c r="C484" s="436"/>
      <c r="D484" s="436"/>
      <c r="E484" s="436"/>
      <c r="F484" s="436"/>
      <c r="G484" s="436"/>
      <c r="H484" s="436"/>
    </row>
    <row r="485" spans="1:8">
      <c r="A485" s="455" t="s">
        <v>547</v>
      </c>
      <c r="B485" s="456"/>
      <c r="C485" s="436"/>
      <c r="E485" s="456"/>
      <c r="G485" s="456" t="s">
        <v>1123</v>
      </c>
      <c r="H485" s="436" t="s">
        <v>1218</v>
      </c>
    </row>
    <row r="486" spans="1:8" s="931" customFormat="1" ht="34.15" customHeight="1">
      <c r="A486" s="928" t="s">
        <v>1122</v>
      </c>
      <c r="B486" s="1375" t="str">
        <f>VLOOKUP(H485,PRESUPUESTO!$A$18:$F$251,2,FALSE)</f>
        <v>Suministro, transporte e instalación de tubería P.V.C-Sanitaria d=6" o similar.(Incluye los accesorios necesarios para su funcionamiento, Según norma técnica ASTM 2324)</v>
      </c>
      <c r="C486" s="1375"/>
      <c r="D486" s="1375"/>
      <c r="E486" s="1375"/>
      <c r="F486" s="1375"/>
      <c r="G486" s="929" t="s">
        <v>9</v>
      </c>
      <c r="H486" s="1024" t="str">
        <f>VLOOKUP(H485,PRESUPUESTO!$A$18:$F$251,3,FALSE)</f>
        <v>ml</v>
      </c>
    </row>
    <row r="487" spans="1:8">
      <c r="A487" s="456"/>
      <c r="B487" s="456"/>
      <c r="C487" s="436"/>
      <c r="D487" s="456"/>
      <c r="E487" s="456"/>
      <c r="F487" s="456"/>
      <c r="G487" s="456"/>
      <c r="H487" s="436"/>
    </row>
    <row r="488" spans="1:8" ht="13.5" thickBot="1">
      <c r="A488" s="450" t="s">
        <v>79</v>
      </c>
      <c r="B488" s="450"/>
      <c r="C488" s="436"/>
      <c r="D488" s="436"/>
      <c r="E488" s="436"/>
      <c r="F488" s="436"/>
      <c r="G488" s="436"/>
      <c r="H488" s="436"/>
    </row>
    <row r="489" spans="1:8">
      <c r="A489" s="1345" t="s">
        <v>80</v>
      </c>
      <c r="B489" s="1346"/>
      <c r="C489" s="1347"/>
      <c r="D489" s="438" t="s">
        <v>81</v>
      </c>
      <c r="E489" s="438" t="s">
        <v>82</v>
      </c>
      <c r="F489" s="438" t="s">
        <v>83</v>
      </c>
      <c r="G489" s="439" t="s">
        <v>84</v>
      </c>
      <c r="H489" s="457"/>
    </row>
    <row r="490" spans="1:8">
      <c r="A490" s="1357" t="s">
        <v>85</v>
      </c>
      <c r="B490" s="1358"/>
      <c r="C490" s="1359"/>
      <c r="D490" s="459"/>
      <c r="E490" s="440"/>
      <c r="F490" s="440"/>
      <c r="G490" s="432">
        <f>ROUND(H519*0.05,0)</f>
        <v>741</v>
      </c>
      <c r="H490" s="460"/>
    </row>
    <row r="491" spans="1:8">
      <c r="A491" s="1357"/>
      <c r="B491" s="1358"/>
      <c r="C491" s="1359"/>
      <c r="D491" s="461"/>
      <c r="E491" s="462"/>
      <c r="F491" s="440"/>
      <c r="G491" s="432">
        <f>E491*F491</f>
        <v>0</v>
      </c>
      <c r="H491" s="460"/>
    </row>
    <row r="492" spans="1:8" ht="13.5" thickBot="1">
      <c r="A492" s="1342"/>
      <c r="B492" s="1343"/>
      <c r="C492" s="1344"/>
      <c r="D492" s="464"/>
      <c r="E492" s="433"/>
      <c r="F492" s="434"/>
      <c r="G492" s="435"/>
      <c r="H492" s="465"/>
    </row>
    <row r="493" spans="1:8" ht="13.5" thickBot="1">
      <c r="A493" s="436"/>
      <c r="B493" s="436"/>
      <c r="C493" s="436"/>
      <c r="D493" s="436"/>
      <c r="E493" s="436"/>
      <c r="F493" s="436"/>
      <c r="G493" s="437" t="s">
        <v>86</v>
      </c>
      <c r="H493" s="466">
        <f>SUM(G490:G492)</f>
        <v>741</v>
      </c>
    </row>
    <row r="494" spans="1:8" ht="13.5" thickBot="1">
      <c r="A494" s="450" t="s">
        <v>87</v>
      </c>
      <c r="B494" s="450"/>
      <c r="C494" s="436"/>
      <c r="D494" s="436"/>
      <c r="E494" s="436"/>
      <c r="F494" s="436"/>
      <c r="G494" s="436"/>
      <c r="H494" s="436"/>
    </row>
    <row r="495" spans="1:8">
      <c r="A495" s="1345" t="s">
        <v>80</v>
      </c>
      <c r="B495" s="1346"/>
      <c r="C495" s="1347"/>
      <c r="D495" s="438" t="s">
        <v>88</v>
      </c>
      <c r="E495" s="438" t="s">
        <v>89</v>
      </c>
      <c r="F495" s="438" t="s">
        <v>90</v>
      </c>
      <c r="G495" s="439" t="s">
        <v>84</v>
      </c>
      <c r="H495" s="457"/>
    </row>
    <row r="496" spans="1:8">
      <c r="A496" s="458" t="s">
        <v>1133</v>
      </c>
      <c r="B496" s="467"/>
      <c r="C496" s="468"/>
      <c r="D496" s="459" t="s">
        <v>271</v>
      </c>
      <c r="E496" s="674">
        <f>369686*1.19/6</f>
        <v>73321.056666666656</v>
      </c>
      <c r="F496" s="440">
        <v>1</v>
      </c>
      <c r="G496" s="432">
        <f t="shared" ref="G496:G502" si="8">ROUND(F496*E496,0)</f>
        <v>73321</v>
      </c>
      <c r="H496" s="460"/>
    </row>
    <row r="497" spans="1:8">
      <c r="A497" s="469" t="s">
        <v>1134</v>
      </c>
      <c r="B497" s="467"/>
      <c r="C497" s="468"/>
      <c r="D497" s="459" t="s">
        <v>173</v>
      </c>
      <c r="E497" s="674">
        <f>127031*1.19</f>
        <v>151166.88999999998</v>
      </c>
      <c r="F497" s="431">
        <v>0.1</v>
      </c>
      <c r="G497" s="432">
        <f t="shared" si="8"/>
        <v>15117</v>
      </c>
      <c r="H497" s="460"/>
    </row>
    <row r="498" spans="1:8">
      <c r="A498" s="469" t="s">
        <v>1135</v>
      </c>
      <c r="B498" s="467"/>
      <c r="C498" s="468"/>
      <c r="D498" s="459" t="s">
        <v>173</v>
      </c>
      <c r="E498" s="674">
        <f>144559*1.19</f>
        <v>172025.21</v>
      </c>
      <c r="F498" s="431">
        <f>+F497</f>
        <v>0.1</v>
      </c>
      <c r="G498" s="432">
        <f t="shared" si="8"/>
        <v>17203</v>
      </c>
      <c r="H498" s="460"/>
    </row>
    <row r="499" spans="1:8">
      <c r="A499" s="469" t="s">
        <v>1136</v>
      </c>
      <c r="B499" s="467"/>
      <c r="C499" s="468"/>
      <c r="D499" s="459" t="s">
        <v>173</v>
      </c>
      <c r="E499" s="674">
        <f>180506*1.19</f>
        <v>214802.13999999998</v>
      </c>
      <c r="F499" s="431">
        <f>+F498</f>
        <v>0.1</v>
      </c>
      <c r="G499" s="432">
        <f t="shared" si="8"/>
        <v>21480</v>
      </c>
      <c r="H499" s="460"/>
    </row>
    <row r="500" spans="1:8">
      <c r="A500" s="469" t="s">
        <v>788</v>
      </c>
      <c r="B500" s="467"/>
      <c r="C500" s="468"/>
      <c r="D500" s="459" t="s">
        <v>791</v>
      </c>
      <c r="E500" s="674">
        <f>55389*1.19</f>
        <v>65912.91</v>
      </c>
      <c r="F500" s="431">
        <f>1/30</f>
        <v>3.3333333333333333E-2</v>
      </c>
      <c r="G500" s="432">
        <f t="shared" si="8"/>
        <v>2197</v>
      </c>
      <c r="H500" s="460"/>
    </row>
    <row r="501" spans="1:8">
      <c r="A501" s="469" t="s">
        <v>789</v>
      </c>
      <c r="B501" s="467"/>
      <c r="C501" s="468"/>
      <c r="D501" s="459" t="s">
        <v>791</v>
      </c>
      <c r="E501" s="674">
        <f>114873*1.19</f>
        <v>136698.87</v>
      </c>
      <c r="F501" s="431">
        <f>+F500/2</f>
        <v>1.6666666666666666E-2</v>
      </c>
      <c r="G501" s="432">
        <f t="shared" si="8"/>
        <v>2278</v>
      </c>
      <c r="H501" s="460"/>
    </row>
    <row r="502" spans="1:8">
      <c r="A502" s="469" t="s">
        <v>792</v>
      </c>
      <c r="B502" s="467"/>
      <c r="C502" s="468"/>
      <c r="D502" s="459" t="s">
        <v>790</v>
      </c>
      <c r="E502" s="674">
        <v>2719</v>
      </c>
      <c r="F502" s="431">
        <f>1/16</f>
        <v>6.25E-2</v>
      </c>
      <c r="G502" s="432">
        <f t="shared" si="8"/>
        <v>170</v>
      </c>
      <c r="H502" s="460"/>
    </row>
    <row r="503" spans="1:8">
      <c r="A503" s="469" t="s">
        <v>93</v>
      </c>
      <c r="B503" s="467"/>
      <c r="C503" s="471">
        <v>0.05</v>
      </c>
      <c r="D503" s="459"/>
      <c r="E503" s="430"/>
      <c r="F503" s="431"/>
      <c r="G503" s="432">
        <f>SUM(G496:G502)*C503</f>
        <v>6588.3</v>
      </c>
      <c r="H503" s="460"/>
    </row>
    <row r="504" spans="1:8">
      <c r="A504" s="469"/>
      <c r="B504" s="467"/>
      <c r="C504" s="468"/>
      <c r="D504" s="459"/>
      <c r="E504" s="430"/>
      <c r="F504" s="431"/>
      <c r="G504" s="432"/>
      <c r="H504" s="460"/>
    </row>
    <row r="505" spans="1:8" ht="13.5" thickBot="1">
      <c r="A505" s="472"/>
      <c r="B505" s="473"/>
      <c r="C505" s="474"/>
      <c r="D505" s="464"/>
      <c r="E505" s="433"/>
      <c r="F505" s="434"/>
      <c r="G505" s="435"/>
      <c r="H505" s="465"/>
    </row>
    <row r="506" spans="1:8" ht="13.5" thickBot="1">
      <c r="A506" s="436"/>
      <c r="B506" s="436"/>
      <c r="C506" s="436"/>
      <c r="D506" s="436"/>
      <c r="E506" s="436"/>
      <c r="F506" s="436"/>
      <c r="G506" s="437" t="s">
        <v>86</v>
      </c>
      <c r="H506" s="466">
        <f>SUM(G496:G505)</f>
        <v>138354.29999999999</v>
      </c>
    </row>
    <row r="507" spans="1:8" ht="13.5" thickBot="1">
      <c r="A507" s="450" t="s">
        <v>94</v>
      </c>
      <c r="B507" s="450"/>
      <c r="C507" s="436"/>
      <c r="D507" s="436"/>
      <c r="E507" s="436"/>
      <c r="F507" s="436"/>
      <c r="G507" s="436"/>
      <c r="H507" s="436"/>
    </row>
    <row r="508" spans="1:8">
      <c r="A508" s="1345" t="s">
        <v>95</v>
      </c>
      <c r="B508" s="1346"/>
      <c r="C508" s="1347"/>
      <c r="D508" s="438" t="s">
        <v>88</v>
      </c>
      <c r="E508" s="438" t="s">
        <v>89</v>
      </c>
      <c r="F508" s="438" t="s">
        <v>90</v>
      </c>
      <c r="G508" s="439" t="s">
        <v>84</v>
      </c>
      <c r="H508" s="457"/>
    </row>
    <row r="509" spans="1:8">
      <c r="A509" s="458"/>
      <c r="B509" s="467"/>
      <c r="C509" s="468"/>
      <c r="D509" s="459"/>
      <c r="E509" s="430"/>
      <c r="F509" s="440"/>
      <c r="G509" s="440"/>
      <c r="H509" s="460"/>
    </row>
    <row r="510" spans="1:8" ht="13.5" thickBot="1">
      <c r="A510" s="1342" t="s">
        <v>235</v>
      </c>
      <c r="B510" s="1343"/>
      <c r="C510" s="1344"/>
      <c r="D510" s="475" t="s">
        <v>271</v>
      </c>
      <c r="E510" s="433">
        <v>2400</v>
      </c>
      <c r="F510" s="434">
        <v>1</v>
      </c>
      <c r="G510" s="441">
        <f>+F510*E510</f>
        <v>2400</v>
      </c>
      <c r="H510" s="460"/>
    </row>
    <row r="511" spans="1:8" ht="13.5" thickBot="1">
      <c r="A511" s="436"/>
      <c r="B511" s="436"/>
      <c r="C511" s="436"/>
      <c r="D511" s="436"/>
      <c r="E511" s="436"/>
      <c r="F511" s="436"/>
      <c r="G511" s="437" t="s">
        <v>86</v>
      </c>
      <c r="H511" s="466">
        <f>SUM(G509:G510)</f>
        <v>2400</v>
      </c>
    </row>
    <row r="512" spans="1:8" ht="13.5" thickBot="1">
      <c r="A512" s="450" t="s">
        <v>96</v>
      </c>
      <c r="B512" s="450"/>
      <c r="C512" s="436"/>
      <c r="D512" s="436"/>
      <c r="E512" s="436"/>
      <c r="F512" s="436"/>
      <c r="G512" s="436"/>
      <c r="H512" s="436"/>
    </row>
    <row r="513" spans="1:9">
      <c r="A513" s="476" t="s">
        <v>97</v>
      </c>
      <c r="B513" s="438"/>
      <c r="C513" s="438" t="s">
        <v>98</v>
      </c>
      <c r="D513" s="438" t="s">
        <v>99</v>
      </c>
      <c r="E513" s="442" t="s">
        <v>100</v>
      </c>
      <c r="F513" s="443" t="s">
        <v>83</v>
      </c>
      <c r="G513" s="444" t="s">
        <v>84</v>
      </c>
      <c r="H513" s="477"/>
    </row>
    <row r="514" spans="1:9">
      <c r="A514" s="478" t="s">
        <v>227</v>
      </c>
      <c r="B514" s="468"/>
      <c r="C514" s="479">
        <f>PERSONAL!$E$31</f>
        <v>48800</v>
      </c>
      <c r="D514" s="480">
        <f>PERSONAL!$F$31</f>
        <v>1.7431000000000001</v>
      </c>
      <c r="E514" s="440">
        <f>+D514*C514</f>
        <v>85063.28</v>
      </c>
      <c r="F514" s="686">
        <v>16</v>
      </c>
      <c r="G514" s="445">
        <f>ROUND(E514/F514,0)</f>
        <v>5316</v>
      </c>
      <c r="H514" s="451"/>
    </row>
    <row r="515" spans="1:9">
      <c r="A515" s="478" t="s">
        <v>101</v>
      </c>
      <c r="B515" s="467"/>
      <c r="C515" s="479">
        <f>PERSONAL!$E$32</f>
        <v>87200</v>
      </c>
      <c r="D515" s="480">
        <f>PERSONAL!$F$31</f>
        <v>1.7431000000000001</v>
      </c>
      <c r="E515" s="440">
        <f>+D515*C515</f>
        <v>151998.32</v>
      </c>
      <c r="F515" s="686">
        <f>+F514</f>
        <v>16</v>
      </c>
      <c r="G515" s="445">
        <f>ROUND(E515/F515,0)</f>
        <v>9500</v>
      </c>
      <c r="H515" s="451"/>
    </row>
    <row r="516" spans="1:9">
      <c r="A516" s="478"/>
      <c r="B516" s="468"/>
      <c r="C516" s="430"/>
      <c r="D516" s="459"/>
      <c r="E516" s="430"/>
      <c r="F516" s="440"/>
      <c r="G516" s="445"/>
      <c r="H516" s="451"/>
    </row>
    <row r="517" spans="1:9">
      <c r="A517" s="478"/>
      <c r="B517" s="468"/>
      <c r="C517" s="430"/>
      <c r="D517" s="459"/>
      <c r="E517" s="430"/>
      <c r="F517" s="440"/>
      <c r="G517" s="445"/>
      <c r="H517" s="451"/>
    </row>
    <row r="518" spans="1:9" ht="13.5" thickBot="1">
      <c r="A518" s="481"/>
      <c r="B518" s="474"/>
      <c r="C518" s="474"/>
      <c r="D518" s="474"/>
      <c r="E518" s="474"/>
      <c r="F518" s="474"/>
      <c r="G518" s="482"/>
      <c r="H518" s="482"/>
    </row>
    <row r="519" spans="1:9" ht="13.5" thickBot="1">
      <c r="A519" s="436"/>
      <c r="B519" s="436"/>
      <c r="C519" s="436"/>
      <c r="D519" s="436"/>
      <c r="E519" s="436"/>
      <c r="F519" s="436"/>
      <c r="G519" s="437" t="s">
        <v>86</v>
      </c>
      <c r="H519" s="466">
        <f>SUM(G514:G518)</f>
        <v>14816</v>
      </c>
    </row>
    <row r="520" spans="1:9" ht="13.5" thickBot="1">
      <c r="A520" s="436"/>
      <c r="B520" s="436"/>
      <c r="C520" s="436"/>
      <c r="D520" s="436"/>
      <c r="E520" s="436"/>
      <c r="F520" s="436"/>
      <c r="G520" s="483"/>
      <c r="H520" s="436"/>
    </row>
    <row r="521" spans="1:9" ht="13.5" thickBot="1">
      <c r="A521" s="436"/>
      <c r="B521" s="436"/>
      <c r="C521" s="436"/>
      <c r="D521" s="436"/>
      <c r="E521" s="484" t="s">
        <v>102</v>
      </c>
      <c r="F521" s="485"/>
      <c r="G521" s="485"/>
      <c r="H521" s="466">
        <f>H493+H506+H511+H519</f>
        <v>156311.29999999999</v>
      </c>
      <c r="I521" s="541"/>
    </row>
    <row r="522" spans="1:9" ht="13.5" thickBot="1">
      <c r="A522" s="450" t="s">
        <v>103</v>
      </c>
      <c r="B522" s="450"/>
      <c r="C522" s="436"/>
      <c r="D522" s="436"/>
      <c r="E522" s="436"/>
      <c r="F522" s="436"/>
      <c r="G522" s="436"/>
      <c r="H522" s="436"/>
    </row>
    <row r="523" spans="1:9">
      <c r="A523" s="487" t="s">
        <v>80</v>
      </c>
      <c r="B523" s="488"/>
      <c r="C523" s="488"/>
      <c r="D523" s="488"/>
      <c r="E523" s="489"/>
      <c r="F523" s="490" t="s">
        <v>104</v>
      </c>
      <c r="G523" s="491" t="s">
        <v>105</v>
      </c>
      <c r="H523" s="457"/>
    </row>
    <row r="524" spans="1:9">
      <c r="A524" s="469" t="s">
        <v>106</v>
      </c>
      <c r="B524" s="467"/>
      <c r="C524" s="467"/>
      <c r="D524" s="467"/>
      <c r="E524" s="468"/>
      <c r="F524" s="492">
        <f>+'CALCULO AU'!C78</f>
        <v>0</v>
      </c>
      <c r="G524" s="493">
        <f>+F524*H521</f>
        <v>0</v>
      </c>
      <c r="H524" s="550"/>
    </row>
    <row r="525" spans="1:9">
      <c r="A525" s="469" t="s">
        <v>107</v>
      </c>
      <c r="B525" s="467"/>
      <c r="C525" s="467"/>
      <c r="D525" s="467"/>
      <c r="E525" s="468"/>
      <c r="F525" s="492">
        <f>PRESUPUESTO!$E$223</f>
        <v>0.05</v>
      </c>
      <c r="G525" s="493">
        <f>+F525*H521</f>
        <v>7815.5649999999996</v>
      </c>
      <c r="H525" s="550"/>
    </row>
    <row r="526" spans="1:9" ht="13.5" thickBot="1">
      <c r="A526" s="472" t="s">
        <v>108</v>
      </c>
      <c r="B526" s="473"/>
      <c r="C526" s="473"/>
      <c r="D526" s="473"/>
      <c r="E526" s="474"/>
      <c r="F526" s="494">
        <v>0</v>
      </c>
      <c r="G526" s="495">
        <f>+F526*H521</f>
        <v>0</v>
      </c>
      <c r="H526" s="465"/>
    </row>
    <row r="527" spans="1:9" ht="13.5" thickBot="1">
      <c r="A527" s="436"/>
      <c r="B527" s="436"/>
      <c r="C527" s="436"/>
      <c r="D527" s="436"/>
      <c r="E527" s="436"/>
      <c r="F527" s="436"/>
      <c r="G527" s="437" t="s">
        <v>86</v>
      </c>
      <c r="H527" s="496">
        <f>SUM(G524:G526)</f>
        <v>7815.5649999999996</v>
      </c>
    </row>
    <row r="528" spans="1:9" ht="13.5" thickBot="1">
      <c r="A528" s="436"/>
      <c r="B528" s="436"/>
      <c r="C528" s="436"/>
      <c r="D528" s="436"/>
      <c r="E528" s="436"/>
      <c r="F528" s="436"/>
      <c r="G528" s="436"/>
      <c r="H528" s="436"/>
    </row>
    <row r="529" spans="1:18" ht="13.5" thickBot="1">
      <c r="C529" s="436"/>
      <c r="D529" s="484" t="s">
        <v>109</v>
      </c>
      <c r="E529" s="485"/>
      <c r="F529" s="485"/>
      <c r="G529" s="485"/>
      <c r="H529" s="466">
        <f>ROUND((H521+H527),0)</f>
        <v>164127</v>
      </c>
    </row>
    <row r="530" spans="1:18" ht="15">
      <c r="A530" s="186" t="s">
        <v>77</v>
      </c>
    </row>
    <row r="531" spans="1:18" ht="13.5" thickBot="1"/>
    <row r="532" spans="1:18">
      <c r="A532" s="1348" t="s">
        <v>213</v>
      </c>
      <c r="B532" s="1349"/>
      <c r="C532" s="1350"/>
      <c r="D532" s="448"/>
      <c r="E532" s="448"/>
      <c r="F532" s="448"/>
      <c r="G532" s="448"/>
      <c r="H532" s="449"/>
    </row>
    <row r="533" spans="1:18">
      <c r="A533" s="1351"/>
      <c r="B533" s="1352"/>
      <c r="C533" s="1353"/>
      <c r="D533" s="436"/>
      <c r="E533" s="450" t="s">
        <v>78</v>
      </c>
      <c r="F533" s="436"/>
      <c r="G533" s="436"/>
      <c r="H533" s="451"/>
    </row>
    <row r="534" spans="1:18" ht="13.5" thickBot="1">
      <c r="A534" s="1354"/>
      <c r="B534" s="1355"/>
      <c r="C534" s="1356"/>
      <c r="D534" s="1360"/>
      <c r="E534" s="1361"/>
      <c r="F534" s="1361"/>
      <c r="G534" s="1361"/>
      <c r="H534" s="1362"/>
    </row>
    <row r="535" spans="1:18">
      <c r="A535" s="455"/>
      <c r="B535" s="436"/>
      <c r="C535" s="436"/>
      <c r="D535" s="436"/>
      <c r="E535" s="436"/>
      <c r="F535" s="436"/>
      <c r="G535" s="436"/>
      <c r="H535" s="436"/>
    </row>
    <row r="536" spans="1:18">
      <c r="A536" s="455" t="s">
        <v>547</v>
      </c>
      <c r="B536" s="456"/>
      <c r="C536" s="436"/>
      <c r="E536" s="456"/>
      <c r="G536" s="456" t="s">
        <v>1064</v>
      </c>
      <c r="H536" s="436" t="s">
        <v>1219</v>
      </c>
    </row>
    <row r="537" spans="1:18" s="931" customFormat="1" ht="67.150000000000006" customHeight="1">
      <c r="A537" s="928" t="s">
        <v>1122</v>
      </c>
      <c r="B537" s="1375" t="str">
        <f>VLOOKUP(H536,PRESUPUESTO!$A$18:$F$251,2,FALSE)</f>
        <v>Construcción de caja de inspección y/o empalme de 60x60cm y altura hasta 100 cm. medidas internas, en concreto de 28 Mpa con muros y losa de fondo de 10cm de espesor.  Incluye suministro, transportes externo e interno y la instalación de los materiales, tapa de 70x70cm, herraje, formaleta, vibrado, cañuela para tubería, malla electrosoldada D188 y todos los elementos necesarios para su correcta construcción y funcionamiento. Según diseño y especificaciones de E.P.M.</v>
      </c>
      <c r="C537" s="1375"/>
      <c r="D537" s="1375"/>
      <c r="E537" s="1375"/>
      <c r="F537" s="1375"/>
      <c r="G537" s="929" t="s">
        <v>9</v>
      </c>
      <c r="H537" s="1024" t="str">
        <f>VLOOKUP(H536,PRESUPUESTO!$A$18:$F$251,3,FALSE)</f>
        <v>un</v>
      </c>
      <c r="J537" s="767"/>
      <c r="K537" s="767"/>
      <c r="L537" s="767"/>
      <c r="M537" s="767"/>
      <c r="N537" s="767"/>
      <c r="O537" s="767"/>
      <c r="P537" s="767"/>
      <c r="Q537" s="767"/>
      <c r="R537" s="767"/>
    </row>
    <row r="538" spans="1:18">
      <c r="A538" s="456"/>
      <c r="B538" s="456"/>
      <c r="C538" s="436"/>
      <c r="D538" s="456"/>
      <c r="E538" s="456"/>
      <c r="F538" s="456"/>
      <c r="G538" s="456"/>
      <c r="H538" s="436"/>
      <c r="J538" s="767"/>
      <c r="K538" s="767"/>
      <c r="L538" s="767"/>
      <c r="M538" s="767"/>
      <c r="N538" s="767"/>
      <c r="O538" s="767"/>
      <c r="P538" s="767"/>
      <c r="Q538" s="767"/>
      <c r="R538" s="767"/>
    </row>
    <row r="539" spans="1:18" ht="13.5" thickBot="1">
      <c r="A539" s="450" t="s">
        <v>79</v>
      </c>
      <c r="B539" s="450"/>
      <c r="C539" s="436"/>
      <c r="D539" s="436"/>
      <c r="E539" s="436"/>
      <c r="F539" s="436"/>
      <c r="G539" s="436"/>
      <c r="H539" s="436"/>
      <c r="J539" s="767"/>
      <c r="K539" s="767"/>
      <c r="L539" s="767"/>
      <c r="M539" s="767"/>
      <c r="N539" s="767"/>
      <c r="O539" s="767"/>
      <c r="P539" s="767"/>
      <c r="Q539" s="767"/>
      <c r="R539" s="767"/>
    </row>
    <row r="540" spans="1:18">
      <c r="A540" s="1345" t="s">
        <v>80</v>
      </c>
      <c r="B540" s="1346"/>
      <c r="C540" s="1347"/>
      <c r="D540" s="438" t="s">
        <v>81</v>
      </c>
      <c r="E540" s="438" t="s">
        <v>82</v>
      </c>
      <c r="F540" s="438" t="s">
        <v>83</v>
      </c>
      <c r="G540" s="439" t="s">
        <v>84</v>
      </c>
      <c r="H540" s="457"/>
      <c r="J540" s="767"/>
      <c r="K540" s="767"/>
      <c r="L540" s="767"/>
      <c r="M540" s="767"/>
      <c r="N540" s="767"/>
      <c r="O540" s="767"/>
      <c r="P540" s="767"/>
      <c r="Q540" s="767"/>
      <c r="R540" s="767"/>
    </row>
    <row r="541" spans="1:18">
      <c r="A541" s="1376" t="s">
        <v>85</v>
      </c>
      <c r="B541" s="1377"/>
      <c r="C541" s="1378"/>
      <c r="D541" s="772"/>
      <c r="E541" s="773"/>
      <c r="F541" s="774"/>
      <c r="G541" s="775">
        <f>+H567*0.05</f>
        <v>13170.088888888891</v>
      </c>
      <c r="H541" s="776"/>
      <c r="J541" s="767"/>
      <c r="K541" s="767"/>
      <c r="L541" s="767"/>
      <c r="M541" s="767"/>
      <c r="N541" s="767"/>
      <c r="O541" s="767"/>
      <c r="P541" s="767"/>
      <c r="Q541" s="767"/>
      <c r="R541" s="767"/>
    </row>
    <row r="542" spans="1:18">
      <c r="A542" s="1376" t="s">
        <v>798</v>
      </c>
      <c r="B542" s="1377"/>
      <c r="C542" s="1378"/>
      <c r="D542" s="777"/>
      <c r="E542" s="778">
        <v>28500</v>
      </c>
      <c r="F542" s="779">
        <v>3</v>
      </c>
      <c r="G542" s="780">
        <f>+E542/F542</f>
        <v>9500</v>
      </c>
      <c r="H542" s="776"/>
      <c r="J542" s="767"/>
      <c r="K542" s="767"/>
      <c r="L542" s="767"/>
      <c r="M542" s="767"/>
      <c r="N542" s="767"/>
      <c r="O542" s="767"/>
      <c r="P542" s="767"/>
      <c r="Q542" s="767"/>
      <c r="R542" s="767"/>
    </row>
    <row r="543" spans="1:18" ht="13.5" thickBot="1">
      <c r="A543" s="1420"/>
      <c r="B543" s="1421"/>
      <c r="C543" s="1422"/>
      <c r="D543" s="781"/>
      <c r="E543" s="782"/>
      <c r="F543" s="783"/>
      <c r="G543" s="784"/>
      <c r="H543" s="785"/>
      <c r="J543" s="767"/>
      <c r="K543" s="767"/>
      <c r="L543" s="767"/>
      <c r="M543" s="767"/>
      <c r="N543" s="767"/>
      <c r="O543" s="767"/>
      <c r="P543" s="767"/>
      <c r="Q543" s="767"/>
      <c r="R543" s="767"/>
    </row>
    <row r="544" spans="1:18" ht="13.5" thickBot="1">
      <c r="A544" s="767"/>
      <c r="B544" s="767"/>
      <c r="C544" s="767"/>
      <c r="D544" s="767"/>
      <c r="E544" s="767"/>
      <c r="F544" s="767"/>
      <c r="G544" s="786" t="s">
        <v>86</v>
      </c>
      <c r="H544" s="787">
        <f>SUM(G541:G543)</f>
        <v>22670.088888888891</v>
      </c>
      <c r="J544" s="767"/>
      <c r="K544" s="767"/>
      <c r="L544" s="767"/>
      <c r="M544" s="767"/>
      <c r="N544" s="767"/>
      <c r="O544" s="767"/>
      <c r="P544" s="767"/>
      <c r="Q544" s="767"/>
      <c r="R544" s="767"/>
    </row>
    <row r="545" spans="1:18" ht="13.5" thickBot="1">
      <c r="A545" s="766" t="s">
        <v>87</v>
      </c>
      <c r="B545" s="766"/>
      <c r="C545" s="767"/>
      <c r="D545" s="767"/>
      <c r="E545" s="767"/>
      <c r="F545" s="767"/>
      <c r="G545" s="767"/>
      <c r="H545" s="767"/>
      <c r="J545" s="767"/>
      <c r="K545" s="767"/>
      <c r="L545" s="767"/>
      <c r="M545" s="767"/>
      <c r="N545" s="767"/>
      <c r="O545" s="767"/>
      <c r="P545" s="767"/>
      <c r="Q545" s="767"/>
      <c r="R545" s="767"/>
    </row>
    <row r="546" spans="1:18">
      <c r="A546" s="1417" t="s">
        <v>80</v>
      </c>
      <c r="B546" s="1418"/>
      <c r="C546" s="1419"/>
      <c r="D546" s="769" t="s">
        <v>88</v>
      </c>
      <c r="E546" s="769" t="s">
        <v>89</v>
      </c>
      <c r="F546" s="769" t="s">
        <v>90</v>
      </c>
      <c r="G546" s="768" t="s">
        <v>84</v>
      </c>
      <c r="H546" s="771"/>
      <c r="J546" s="767"/>
      <c r="K546" s="767"/>
      <c r="L546" s="767"/>
      <c r="M546" s="767"/>
      <c r="N546" s="767"/>
      <c r="O546" s="767"/>
      <c r="P546" s="767"/>
      <c r="Q546" s="767"/>
      <c r="R546" s="767"/>
    </row>
    <row r="547" spans="1:18" ht="13.15" customHeight="1">
      <c r="A547" s="1432" t="s">
        <v>799</v>
      </c>
      <c r="B547" s="1433"/>
      <c r="C547" s="1434"/>
      <c r="D547" s="788" t="s">
        <v>91</v>
      </c>
      <c r="E547" s="1025">
        <f>+APA!H220</f>
        <v>581960.89333333331</v>
      </c>
      <c r="F547" s="790">
        <f>((0.8*0.8*1)-(0.6*0.6*1)+(0.7*0.7*0.06)+(0.9*0.9*0.1)+(0.6*0.6*0.2))*1.05</f>
        <v>0.48552000000000017</v>
      </c>
      <c r="G547" s="791">
        <f t="shared" ref="G547:G553" si="9">+E547*F547</f>
        <v>282553.65293120011</v>
      </c>
      <c r="H547" s="776"/>
      <c r="J547" s="767"/>
      <c r="K547" s="767"/>
      <c r="L547" s="767"/>
      <c r="M547" s="767"/>
      <c r="N547" s="767"/>
      <c r="O547" s="767"/>
      <c r="P547" s="767"/>
      <c r="Q547" s="767"/>
      <c r="R547" s="767"/>
    </row>
    <row r="548" spans="1:18" ht="13.15" customHeight="1">
      <c r="A548" s="1432" t="s">
        <v>800</v>
      </c>
      <c r="B548" s="1433"/>
      <c r="C548" s="1434"/>
      <c r="D548" s="788" t="s">
        <v>268</v>
      </c>
      <c r="E548" s="1025">
        <f>186447*1.19</f>
        <v>221871.93</v>
      </c>
      <c r="F548" s="790">
        <v>1</v>
      </c>
      <c r="G548" s="791">
        <f t="shared" si="9"/>
        <v>221871.93</v>
      </c>
      <c r="H548" s="776"/>
      <c r="J548" s="767"/>
      <c r="K548" s="767"/>
      <c r="L548" s="767"/>
      <c r="M548" s="767"/>
      <c r="N548" s="767"/>
      <c r="O548" s="767"/>
      <c r="P548" s="767"/>
      <c r="Q548" s="767"/>
      <c r="R548" s="767"/>
    </row>
    <row r="549" spans="1:18">
      <c r="A549" s="1376" t="s">
        <v>801</v>
      </c>
      <c r="B549" s="1377"/>
      <c r="C549" s="1378"/>
      <c r="D549" s="777" t="s">
        <v>266</v>
      </c>
      <c r="E549" s="778">
        <v>22945</v>
      </c>
      <c r="F549" s="792">
        <f>1.2*1.1</f>
        <v>1.32</v>
      </c>
      <c r="G549" s="780">
        <f t="shared" si="9"/>
        <v>30287.4</v>
      </c>
      <c r="H549" s="776"/>
      <c r="J549" s="767"/>
      <c r="K549" s="767"/>
      <c r="L549" s="767"/>
      <c r="M549" s="767"/>
      <c r="N549" s="767"/>
      <c r="O549" s="767"/>
      <c r="P549" s="767"/>
      <c r="Q549" s="767"/>
      <c r="R549" s="767"/>
    </row>
    <row r="550" spans="1:18">
      <c r="A550" s="1376" t="s">
        <v>802</v>
      </c>
      <c r="B550" s="1377"/>
      <c r="C550" s="1378"/>
      <c r="D550" s="777" t="s">
        <v>266</v>
      </c>
      <c r="E550" s="778">
        <v>51964</v>
      </c>
      <c r="F550" s="792">
        <v>0.56000000000000005</v>
      </c>
      <c r="G550" s="780">
        <f t="shared" si="9"/>
        <v>29099.840000000004</v>
      </c>
      <c r="H550" s="776"/>
      <c r="J550" s="767"/>
      <c r="K550" s="767"/>
      <c r="L550" s="767"/>
      <c r="M550" s="767"/>
      <c r="N550" s="767"/>
      <c r="O550" s="767"/>
      <c r="P550" s="767"/>
      <c r="Q550" s="767"/>
      <c r="R550" s="767"/>
    </row>
    <row r="551" spans="1:18">
      <c r="A551" s="1376" t="s">
        <v>803</v>
      </c>
      <c r="B551" s="1377"/>
      <c r="C551" s="1378"/>
      <c r="D551" s="777" t="s">
        <v>237</v>
      </c>
      <c r="E551" s="778">
        <v>18502</v>
      </c>
      <c r="F551" s="1090">
        <f>(0.7*4*1)+(0.7*0.7)</f>
        <v>3.2899999999999996</v>
      </c>
      <c r="G551" s="780">
        <f t="shared" si="9"/>
        <v>60871.579999999994</v>
      </c>
      <c r="H551" s="776"/>
      <c r="J551" s="767"/>
      <c r="K551" s="767"/>
      <c r="L551" s="767"/>
      <c r="M551" s="767"/>
      <c r="N551" s="767"/>
      <c r="O551" s="767"/>
      <c r="P551" s="767"/>
      <c r="Q551" s="767"/>
      <c r="R551" s="767"/>
    </row>
    <row r="552" spans="1:18" ht="13.15" customHeight="1">
      <c r="A552" s="1432" t="s">
        <v>804</v>
      </c>
      <c r="B552" s="1433"/>
      <c r="C552" s="1434"/>
      <c r="D552" s="793" t="s">
        <v>237</v>
      </c>
      <c r="E552" s="794">
        <v>108475</v>
      </c>
      <c r="F552" s="795">
        <f>0.84*1.05/2</f>
        <v>0.441</v>
      </c>
      <c r="G552" s="791">
        <f t="shared" si="9"/>
        <v>47837.474999999999</v>
      </c>
      <c r="H552" s="776"/>
      <c r="J552" s="767"/>
      <c r="K552" s="767"/>
      <c r="L552" s="767"/>
      <c r="M552" s="767"/>
      <c r="N552" s="767"/>
      <c r="O552" s="767"/>
      <c r="P552" s="767"/>
      <c r="Q552" s="767"/>
      <c r="R552" s="767"/>
    </row>
    <row r="553" spans="1:18" ht="13.15" customHeight="1">
      <c r="A553" s="1432" t="s">
        <v>805</v>
      </c>
      <c r="B553" s="1433"/>
      <c r="C553" s="1434"/>
      <c r="D553" s="793" t="s">
        <v>268</v>
      </c>
      <c r="E553" s="794">
        <v>11300</v>
      </c>
      <c r="F553" s="795">
        <f>1/3</f>
        <v>0.33333333333333331</v>
      </c>
      <c r="G553" s="791">
        <f t="shared" si="9"/>
        <v>3766.6666666666665</v>
      </c>
      <c r="H553" s="776"/>
      <c r="J553" s="767"/>
      <c r="K553" s="767"/>
      <c r="L553" s="767"/>
      <c r="M553" s="767"/>
      <c r="N553" s="767"/>
      <c r="O553" s="767"/>
      <c r="P553" s="767"/>
      <c r="Q553" s="767"/>
      <c r="R553" s="767"/>
    </row>
    <row r="554" spans="1:18" ht="13.5" thickBot="1">
      <c r="A554" s="1425"/>
      <c r="B554" s="1426"/>
      <c r="C554" s="1427"/>
      <c r="D554" s="781"/>
      <c r="E554" s="782"/>
      <c r="F554" s="783"/>
      <c r="G554" s="784"/>
      <c r="H554" s="785"/>
      <c r="J554" s="767"/>
      <c r="K554" s="767"/>
      <c r="L554" s="767"/>
      <c r="M554" s="767"/>
      <c r="N554" s="767"/>
      <c r="O554" s="767"/>
      <c r="P554" s="767"/>
      <c r="Q554" s="767"/>
      <c r="R554" s="767"/>
    </row>
    <row r="555" spans="1:18" ht="13.5" thickBot="1">
      <c r="A555" s="767"/>
      <c r="B555" s="767"/>
      <c r="C555" s="767"/>
      <c r="D555" s="767"/>
      <c r="E555" s="767"/>
      <c r="F555" s="767"/>
      <c r="G555" s="786" t="s">
        <v>86</v>
      </c>
      <c r="H555" s="787">
        <f>SUM(G547:G553)</f>
        <v>676288.5445978666</v>
      </c>
      <c r="J555" s="767"/>
      <c r="K555" s="767"/>
      <c r="L555" s="767"/>
      <c r="M555" s="767"/>
      <c r="N555" s="767"/>
      <c r="O555" s="767"/>
      <c r="P555" s="767"/>
      <c r="Q555" s="767"/>
      <c r="R555" s="767"/>
    </row>
    <row r="556" spans="1:18" ht="13.5" thickBot="1">
      <c r="A556" s="796" t="s">
        <v>94</v>
      </c>
      <c r="B556" s="796"/>
      <c r="C556" s="797"/>
      <c r="D556" s="767"/>
      <c r="E556" s="767"/>
      <c r="F556" s="767"/>
      <c r="G556" s="767"/>
      <c r="H556" s="767"/>
      <c r="J556" s="767"/>
      <c r="K556" s="767"/>
      <c r="L556" s="767"/>
      <c r="M556" s="767"/>
      <c r="N556" s="767"/>
      <c r="O556" s="767"/>
      <c r="P556" s="767"/>
      <c r="Q556" s="767"/>
      <c r="R556" s="767"/>
    </row>
    <row r="557" spans="1:18">
      <c r="A557" s="1428" t="s">
        <v>95</v>
      </c>
      <c r="B557" s="1429"/>
      <c r="C557" s="800" t="s">
        <v>88</v>
      </c>
      <c r="D557" s="799" t="s">
        <v>628</v>
      </c>
      <c r="E557" s="799" t="s">
        <v>629</v>
      </c>
      <c r="F557" s="799" t="s">
        <v>630</v>
      </c>
      <c r="G557" s="801" t="s">
        <v>84</v>
      </c>
      <c r="H557" s="771"/>
      <c r="J557" s="767"/>
      <c r="K557" s="767"/>
      <c r="L557" s="767"/>
      <c r="M557" s="767"/>
      <c r="N557" s="767"/>
      <c r="O557" s="767"/>
      <c r="P557" s="767"/>
      <c r="Q557" s="767"/>
      <c r="R557" s="767"/>
    </row>
    <row r="558" spans="1:18">
      <c r="A558" s="1430" t="s">
        <v>806</v>
      </c>
      <c r="B558" s="1431"/>
      <c r="C558" s="802">
        <v>1</v>
      </c>
      <c r="D558" s="803"/>
      <c r="E558" s="804"/>
      <c r="F558" s="805">
        <v>48600</v>
      </c>
      <c r="G558" s="780">
        <f>+F558</f>
        <v>48600</v>
      </c>
      <c r="H558" s="776"/>
      <c r="J558" s="767"/>
      <c r="K558" s="767"/>
      <c r="L558" s="767"/>
      <c r="M558" s="767"/>
      <c r="N558" s="767"/>
      <c r="O558" s="767"/>
      <c r="P558" s="767"/>
      <c r="Q558" s="767"/>
      <c r="R558" s="767"/>
    </row>
    <row r="559" spans="1:18">
      <c r="A559" s="1430"/>
      <c r="B559" s="1431"/>
      <c r="C559" s="802"/>
      <c r="D559" s="803"/>
      <c r="E559" s="804"/>
      <c r="F559" s="805"/>
      <c r="G559" s="780"/>
      <c r="H559" s="776"/>
      <c r="J559" s="767"/>
      <c r="K559" s="767"/>
      <c r="L559" s="767"/>
      <c r="M559" s="767"/>
      <c r="N559" s="767"/>
      <c r="O559" s="767"/>
      <c r="P559" s="767"/>
      <c r="Q559" s="767"/>
      <c r="R559" s="767"/>
    </row>
    <row r="560" spans="1:18" ht="13.5" thickBot="1">
      <c r="A560" s="1413"/>
      <c r="B560" s="1414"/>
      <c r="C560" s="807"/>
      <c r="D560" s="806"/>
      <c r="E560" s="806"/>
      <c r="F560" s="806"/>
      <c r="G560" s="808"/>
      <c r="H560" s="776"/>
      <c r="J560" s="767"/>
      <c r="K560" s="767"/>
      <c r="L560" s="767"/>
      <c r="M560" s="767"/>
      <c r="N560" s="767"/>
      <c r="O560" s="767"/>
      <c r="P560" s="767"/>
      <c r="Q560" s="767"/>
      <c r="R560" s="767"/>
    </row>
    <row r="561" spans="1:18" ht="13.5" thickBot="1">
      <c r="A561" s="767"/>
      <c r="B561" s="767"/>
      <c r="C561" s="767"/>
      <c r="D561" s="767"/>
      <c r="E561" s="767"/>
      <c r="F561" s="767"/>
      <c r="G561" s="786" t="s">
        <v>86</v>
      </c>
      <c r="H561" s="787">
        <f>SUM(G558:G560)</f>
        <v>48600</v>
      </c>
      <c r="I561" s="1091"/>
      <c r="J561" s="767"/>
      <c r="K561" s="767"/>
      <c r="L561" s="767"/>
      <c r="M561" s="767"/>
      <c r="N561" s="767"/>
      <c r="O561" s="767"/>
      <c r="P561" s="767"/>
      <c r="Q561" s="767"/>
      <c r="R561" s="767"/>
    </row>
    <row r="562" spans="1:18" ht="13.5" thickBot="1">
      <c r="A562" s="796" t="s">
        <v>96</v>
      </c>
      <c r="B562" s="796"/>
      <c r="C562" s="767"/>
      <c r="D562" s="767"/>
      <c r="E562" s="767"/>
      <c r="F562" s="767"/>
      <c r="G562" s="767"/>
      <c r="H562" s="767"/>
      <c r="J562" s="767"/>
      <c r="K562" s="767"/>
      <c r="L562" s="767"/>
      <c r="M562" s="767"/>
      <c r="N562" s="767"/>
      <c r="O562" s="767"/>
      <c r="P562" s="767"/>
      <c r="Q562" s="767"/>
      <c r="R562" s="767"/>
    </row>
    <row r="563" spans="1:18">
      <c r="A563" s="798" t="s">
        <v>97</v>
      </c>
      <c r="B563" s="799" t="s">
        <v>90</v>
      </c>
      <c r="C563" s="799" t="s">
        <v>98</v>
      </c>
      <c r="D563" s="799" t="s">
        <v>807</v>
      </c>
      <c r="E563" s="809" t="s">
        <v>808</v>
      </c>
      <c r="F563" s="799" t="s">
        <v>83</v>
      </c>
      <c r="G563" s="801" t="s">
        <v>84</v>
      </c>
      <c r="H563" s="771"/>
      <c r="J563" s="767"/>
      <c r="K563" s="767"/>
      <c r="L563" s="767"/>
      <c r="M563" s="767"/>
      <c r="N563" s="767"/>
      <c r="O563" s="767"/>
      <c r="P563" s="767"/>
      <c r="Q563" s="767"/>
      <c r="R563" s="767"/>
    </row>
    <row r="564" spans="1:18">
      <c r="A564" s="478" t="s">
        <v>227</v>
      </c>
      <c r="B564" s="542">
        <v>1</v>
      </c>
      <c r="C564" s="479">
        <f>PERSONAL!$E$31</f>
        <v>48800</v>
      </c>
      <c r="D564" s="480">
        <f>PERSONAL!$F$31</f>
        <v>1.7431000000000001</v>
      </c>
      <c r="E564" s="440">
        <f>+D564*C564</f>
        <v>85063.28</v>
      </c>
      <c r="F564" s="810">
        <v>0.9</v>
      </c>
      <c r="G564" s="780">
        <f>+E564/F564</f>
        <v>94514.755555555559</v>
      </c>
      <c r="H564" s="776"/>
      <c r="J564" s="767"/>
      <c r="K564" s="767"/>
      <c r="L564" s="767"/>
      <c r="M564" s="767"/>
      <c r="N564" s="767"/>
      <c r="O564" s="767"/>
      <c r="P564" s="767"/>
      <c r="Q564" s="767"/>
      <c r="R564" s="767"/>
    </row>
    <row r="565" spans="1:18">
      <c r="A565" s="478" t="s">
        <v>101</v>
      </c>
      <c r="B565" s="498">
        <v>1</v>
      </c>
      <c r="C565" s="479">
        <f>PERSONAL!$E$32</f>
        <v>87200</v>
      </c>
      <c r="D565" s="480">
        <f>PERSONAL!$F$31</f>
        <v>1.7431000000000001</v>
      </c>
      <c r="E565" s="440">
        <f>+D565*C565</f>
        <v>151998.32</v>
      </c>
      <c r="F565" s="810">
        <f>+F564</f>
        <v>0.9</v>
      </c>
      <c r="G565" s="780">
        <f>+E565/F565</f>
        <v>168887.02222222224</v>
      </c>
      <c r="H565" s="776"/>
      <c r="J565" s="767"/>
      <c r="K565" s="767"/>
      <c r="L565" s="767"/>
      <c r="M565" s="767"/>
      <c r="N565" s="767"/>
      <c r="O565" s="767"/>
      <c r="P565" s="767"/>
      <c r="Q565" s="767"/>
      <c r="R565" s="767"/>
    </row>
    <row r="566" spans="1:18" ht="13.5" thickBot="1">
      <c r="A566" s="1413"/>
      <c r="B566" s="1414"/>
      <c r="C566" s="782"/>
      <c r="D566" s="811"/>
      <c r="E566" s="782"/>
      <c r="F566" s="812"/>
      <c r="G566" s="813"/>
      <c r="H566" s="785"/>
      <c r="J566" s="767"/>
      <c r="K566" s="767"/>
      <c r="L566" s="767"/>
      <c r="M566" s="767"/>
      <c r="N566" s="767"/>
      <c r="O566" s="767"/>
      <c r="P566" s="767"/>
      <c r="Q566" s="767"/>
      <c r="R566" s="767"/>
    </row>
    <row r="567" spans="1:18" ht="13.5" thickBot="1">
      <c r="A567" s="767"/>
      <c r="B567" s="767"/>
      <c r="C567" s="767"/>
      <c r="D567" s="767"/>
      <c r="E567" s="767"/>
      <c r="F567" s="767"/>
      <c r="G567" s="786" t="s">
        <v>86</v>
      </c>
      <c r="H567" s="787">
        <f>SUM(G564:G566)</f>
        <v>263401.77777777781</v>
      </c>
      <c r="J567" s="767"/>
      <c r="K567" s="767"/>
      <c r="L567" s="767"/>
      <c r="M567" s="767"/>
      <c r="N567" s="767"/>
      <c r="O567" s="767"/>
      <c r="P567" s="767"/>
      <c r="Q567" s="767"/>
      <c r="R567" s="767"/>
    </row>
    <row r="568" spans="1:18" ht="13.5" thickBot="1">
      <c r="A568" s="767"/>
      <c r="B568" s="767"/>
      <c r="C568" s="767"/>
      <c r="D568" s="767"/>
      <c r="E568" s="767"/>
      <c r="F568" s="786"/>
      <c r="G568" s="786"/>
      <c r="H568" s="786"/>
      <c r="I568" s="786"/>
      <c r="J568" s="767"/>
      <c r="K568" s="767"/>
      <c r="L568" s="767"/>
      <c r="M568" s="767"/>
      <c r="N568" s="767"/>
      <c r="O568" s="767"/>
      <c r="P568" s="767"/>
      <c r="Q568" s="767"/>
      <c r="R568" s="767"/>
    </row>
    <row r="569" spans="1:18" ht="13.5" thickBot="1">
      <c r="A569" s="436"/>
      <c r="B569" s="436"/>
      <c r="C569" s="436"/>
      <c r="D569" s="436"/>
      <c r="E569" s="484" t="s">
        <v>102</v>
      </c>
      <c r="F569" s="485"/>
      <c r="G569" s="485"/>
      <c r="H569" s="466">
        <f>+H567+H561+H555+H544</f>
        <v>1010960.4112645334</v>
      </c>
      <c r="J569" s="767"/>
      <c r="K569" s="767"/>
      <c r="L569" s="767"/>
      <c r="M569" s="767"/>
      <c r="N569" s="767"/>
      <c r="O569" s="767"/>
      <c r="P569" s="767"/>
      <c r="Q569" s="767"/>
      <c r="R569" s="767"/>
    </row>
    <row r="570" spans="1:18" ht="13.5" thickBot="1">
      <c r="A570" s="450" t="s">
        <v>103</v>
      </c>
      <c r="B570" s="450"/>
      <c r="C570" s="436"/>
      <c r="D570" s="436"/>
      <c r="E570" s="436"/>
      <c r="F570" s="436"/>
      <c r="G570" s="436"/>
      <c r="H570" s="436"/>
      <c r="J570" s="767"/>
      <c r="K570" s="767"/>
      <c r="L570" s="767"/>
      <c r="M570" s="767"/>
      <c r="N570" s="767"/>
      <c r="O570" s="767"/>
      <c r="P570" s="767"/>
      <c r="Q570" s="767"/>
      <c r="R570" s="767"/>
    </row>
    <row r="571" spans="1:18">
      <c r="A571" s="487" t="s">
        <v>80</v>
      </c>
      <c r="B571" s="488"/>
      <c r="C571" s="488"/>
      <c r="D571" s="488"/>
      <c r="E571" s="489"/>
      <c r="F571" s="490" t="s">
        <v>104</v>
      </c>
      <c r="G571" s="491" t="s">
        <v>105</v>
      </c>
      <c r="H571" s="457"/>
    </row>
    <row r="572" spans="1:18">
      <c r="A572" s="469" t="s">
        <v>106</v>
      </c>
      <c r="B572" s="467"/>
      <c r="C572" s="467"/>
      <c r="D572" s="467"/>
      <c r="E572" s="468"/>
      <c r="F572" s="492">
        <f>PRESUPUESTO!$E$222</f>
        <v>0.109</v>
      </c>
      <c r="G572" s="493">
        <f>+F572*H569</f>
        <v>110194.68482783413</v>
      </c>
      <c r="H572" s="550"/>
    </row>
    <row r="573" spans="1:18">
      <c r="A573" s="469" t="s">
        <v>107</v>
      </c>
      <c r="B573" s="467"/>
      <c r="C573" s="467"/>
      <c r="D573" s="467"/>
      <c r="E573" s="468"/>
      <c r="F573" s="492">
        <f>PRESUPUESTO!$E$223</f>
        <v>0.05</v>
      </c>
      <c r="G573" s="493">
        <f>+F573*H569</f>
        <v>50548.020563226673</v>
      </c>
      <c r="H573" s="550"/>
    </row>
    <row r="574" spans="1:18" ht="13.5" thickBot="1">
      <c r="A574" s="472" t="s">
        <v>108</v>
      </c>
      <c r="B574" s="473"/>
      <c r="C574" s="473"/>
      <c r="D574" s="473"/>
      <c r="E574" s="474"/>
      <c r="F574" s="494">
        <v>0</v>
      </c>
      <c r="G574" s="495">
        <f>+F574*H569</f>
        <v>0</v>
      </c>
      <c r="H574" s="465"/>
    </row>
    <row r="575" spans="1:18" ht="13.5" thickBot="1">
      <c r="A575" s="436"/>
      <c r="B575" s="436"/>
      <c r="C575" s="436"/>
      <c r="D575" s="436"/>
      <c r="E575" s="436"/>
      <c r="F575" s="436"/>
      <c r="G575" s="437" t="s">
        <v>86</v>
      </c>
      <c r="H575" s="496">
        <f>SUM(G572:G574)</f>
        <v>160742.70539106079</v>
      </c>
    </row>
    <row r="576" spans="1:18" ht="13.5" thickBot="1">
      <c r="A576" s="436"/>
      <c r="B576" s="436"/>
      <c r="C576" s="436"/>
      <c r="D576" s="436"/>
      <c r="E576" s="436"/>
      <c r="F576" s="436"/>
      <c r="G576" s="436"/>
      <c r="H576" s="436"/>
    </row>
    <row r="577" spans="1:8" ht="13.5" thickBot="1">
      <c r="C577" s="436"/>
      <c r="D577" s="484" t="s">
        <v>109</v>
      </c>
      <c r="E577" s="485"/>
      <c r="F577" s="485"/>
      <c r="G577" s="485"/>
      <c r="H577" s="466">
        <f>ROUND((H569+H575),0)</f>
        <v>1171703</v>
      </c>
    </row>
    <row r="579" spans="1:8" ht="15">
      <c r="A579" s="186" t="s">
        <v>77</v>
      </c>
    </row>
    <row r="580" spans="1:8" ht="13.5" thickBot="1"/>
    <row r="581" spans="1:8" ht="13.15" customHeight="1">
      <c r="A581" s="1348" t="s">
        <v>213</v>
      </c>
      <c r="B581" s="1349"/>
      <c r="C581" s="1350"/>
      <c r="D581" s="448"/>
      <c r="E581" s="448"/>
      <c r="F581" s="448"/>
      <c r="G581" s="448"/>
      <c r="H581" s="449"/>
    </row>
    <row r="582" spans="1:8">
      <c r="A582" s="1351"/>
      <c r="B582" s="1352"/>
      <c r="C582" s="1353"/>
      <c r="D582" s="436"/>
      <c r="E582" s="450" t="s">
        <v>78</v>
      </c>
      <c r="F582" s="436"/>
      <c r="G582" s="436"/>
      <c r="H582" s="451"/>
    </row>
    <row r="583" spans="1:8" ht="13.5" thickBot="1">
      <c r="A583" s="1354"/>
      <c r="B583" s="1355"/>
      <c r="C583" s="1356"/>
      <c r="D583" s="1360"/>
      <c r="E583" s="1361"/>
      <c r="F583" s="1361"/>
      <c r="G583" s="1361"/>
      <c r="H583" s="1362"/>
    </row>
    <row r="584" spans="1:8">
      <c r="A584" s="455"/>
      <c r="B584" s="436"/>
      <c r="C584" s="436"/>
      <c r="D584" s="436"/>
      <c r="E584" s="436"/>
      <c r="F584" s="436"/>
      <c r="G584" s="436"/>
      <c r="H584" s="436"/>
    </row>
    <row r="585" spans="1:8">
      <c r="A585" s="455" t="s">
        <v>547</v>
      </c>
      <c r="B585" s="456"/>
      <c r="C585" s="436"/>
      <c r="E585" s="456"/>
      <c r="G585" s="456" t="s">
        <v>1064</v>
      </c>
      <c r="H585" s="436" t="s">
        <v>1220</v>
      </c>
    </row>
    <row r="586" spans="1:8" s="931" customFormat="1" ht="58.9" customHeight="1">
      <c r="A586" s="928" t="s">
        <v>1065</v>
      </c>
      <c r="B586" s="1375" t="str">
        <f>+VLOOKUP(H585,PRESUPUESTO!$A$135:$F$142,2,FALSE)</f>
        <v>Suministro, transporte y colocación de tapa para MH prefabricado con un diámetro de 1,20 m. según especificaciones técnicas de EEPP de Medellín. Incluye tapa prefabricada en concreto, mortero de pega 1:4, transportes externo e interno de los materiales y todos los demás elementos necesarios para su correcta instalación y funcionamiento.</v>
      </c>
      <c r="C586" s="1375"/>
      <c r="D586" s="1375"/>
      <c r="E586" s="1375"/>
      <c r="F586" s="1375"/>
      <c r="G586" s="929" t="s">
        <v>1066</v>
      </c>
      <c r="H586" s="930" t="str">
        <f>+VLOOKUP(H585,PRESUPUESTO!$A$135:$F$142,3,FALSE)</f>
        <v>un</v>
      </c>
    </row>
    <row r="587" spans="1:8">
      <c r="A587" s="456"/>
      <c r="B587" s="456"/>
      <c r="C587" s="436"/>
      <c r="D587" s="456"/>
      <c r="E587" s="456"/>
      <c r="F587" s="456"/>
      <c r="G587" s="456"/>
      <c r="H587" s="436"/>
    </row>
    <row r="588" spans="1:8" ht="13.5" thickBot="1">
      <c r="A588" s="766" t="s">
        <v>79</v>
      </c>
      <c r="B588" s="766"/>
      <c r="C588" s="767"/>
      <c r="D588" s="767"/>
      <c r="E588" s="767"/>
      <c r="F588" s="767"/>
      <c r="G588" s="767"/>
      <c r="H588" s="767"/>
    </row>
    <row r="589" spans="1:8">
      <c r="A589" s="1417" t="s">
        <v>80</v>
      </c>
      <c r="B589" s="1418"/>
      <c r="C589" s="1419"/>
      <c r="D589" s="769" t="s">
        <v>81</v>
      </c>
      <c r="E589" s="770" t="s">
        <v>82</v>
      </c>
      <c r="F589" s="769" t="s">
        <v>83</v>
      </c>
      <c r="G589" s="768" t="s">
        <v>84</v>
      </c>
      <c r="H589" s="771"/>
    </row>
    <row r="590" spans="1:8">
      <c r="A590" s="1376" t="s">
        <v>85</v>
      </c>
      <c r="B590" s="1377"/>
      <c r="C590" s="1378"/>
      <c r="D590" s="772"/>
      <c r="E590" s="773"/>
      <c r="F590" s="774"/>
      <c r="G590" s="775">
        <f>+H613*0.05</f>
        <v>987.75666666666666</v>
      </c>
      <c r="H590" s="776"/>
    </row>
    <row r="591" spans="1:8">
      <c r="A591" s="1376"/>
      <c r="B591" s="1377"/>
      <c r="C591" s="1378"/>
      <c r="D591" s="772"/>
      <c r="E591" s="773"/>
      <c r="F591" s="804"/>
      <c r="G591" s="775"/>
      <c r="H591" s="776"/>
    </row>
    <row r="592" spans="1:8">
      <c r="A592" s="1376"/>
      <c r="B592" s="1377"/>
      <c r="C592" s="1378"/>
      <c r="D592" s="772"/>
      <c r="E592" s="773"/>
      <c r="F592" s="774"/>
      <c r="G592" s="775"/>
      <c r="H592" s="776"/>
    </row>
    <row r="593" spans="1:8" ht="13.5" thickBot="1">
      <c r="A593" s="1420"/>
      <c r="B593" s="1421"/>
      <c r="C593" s="1422"/>
      <c r="D593" s="781"/>
      <c r="E593" s="782"/>
      <c r="F593" s="783"/>
      <c r="G593" s="784"/>
      <c r="H593" s="785"/>
    </row>
    <row r="594" spans="1:8" ht="13.5" thickBot="1">
      <c r="A594" s="767"/>
      <c r="B594" s="767"/>
      <c r="C594" s="767"/>
      <c r="D594" s="767"/>
      <c r="E594" s="767"/>
      <c r="F594" s="767"/>
      <c r="G594" s="786" t="s">
        <v>86</v>
      </c>
      <c r="H594" s="787">
        <f>SUM(G590:G593)</f>
        <v>987.75666666666666</v>
      </c>
    </row>
    <row r="595" spans="1:8" ht="13.5" thickBot="1">
      <c r="A595" s="766" t="s">
        <v>87</v>
      </c>
      <c r="B595" s="766"/>
      <c r="C595" s="767"/>
      <c r="D595" s="767"/>
      <c r="E595" s="767"/>
      <c r="F595" s="767"/>
      <c r="G595" s="767"/>
      <c r="H595" s="767"/>
    </row>
    <row r="596" spans="1:8">
      <c r="A596" s="1417" t="s">
        <v>80</v>
      </c>
      <c r="B596" s="1418"/>
      <c r="C596" s="1419"/>
      <c r="D596" s="769" t="s">
        <v>88</v>
      </c>
      <c r="E596" s="769" t="s">
        <v>89</v>
      </c>
      <c r="F596" s="769" t="s">
        <v>90</v>
      </c>
      <c r="G596" s="768" t="s">
        <v>84</v>
      </c>
      <c r="H596" s="771"/>
    </row>
    <row r="597" spans="1:8" ht="24" customHeight="1">
      <c r="A597" s="1423" t="s">
        <v>1067</v>
      </c>
      <c r="B597" s="1424"/>
      <c r="C597" s="1424"/>
      <c r="D597" s="932" t="s">
        <v>268</v>
      </c>
      <c r="E597" s="933">
        <v>518483</v>
      </c>
      <c r="F597" s="934">
        <v>1</v>
      </c>
      <c r="G597" s="935">
        <f>+E597*F597</f>
        <v>518483</v>
      </c>
      <c r="H597" s="776"/>
    </row>
    <row r="598" spans="1:8">
      <c r="A598" s="1423"/>
      <c r="B598" s="1424"/>
      <c r="C598" s="1424"/>
      <c r="D598" s="932"/>
      <c r="E598" s="936"/>
      <c r="F598" s="934"/>
      <c r="G598" s="935"/>
      <c r="H598" s="776"/>
    </row>
    <row r="599" spans="1:8" ht="13.5" thickBot="1">
      <c r="A599" s="1425"/>
      <c r="B599" s="1426"/>
      <c r="C599" s="1427"/>
      <c r="D599" s="781"/>
      <c r="E599" s="782"/>
      <c r="F599" s="783"/>
      <c r="G599" s="784"/>
      <c r="H599" s="785"/>
    </row>
    <row r="600" spans="1:8" ht="13.5" thickBot="1">
      <c r="A600" s="767"/>
      <c r="B600" s="767"/>
      <c r="C600" s="767"/>
      <c r="D600" s="767"/>
      <c r="E600" s="767"/>
      <c r="F600" s="767"/>
      <c r="G600" s="786" t="s">
        <v>86</v>
      </c>
      <c r="H600" s="787">
        <f>SUM(G597:G598)</f>
        <v>518483</v>
      </c>
    </row>
    <row r="601" spans="1:8" ht="13.5" thickBot="1">
      <c r="A601" s="796" t="s">
        <v>94</v>
      </c>
      <c r="B601" s="796"/>
      <c r="C601" s="797"/>
      <c r="D601" s="767"/>
      <c r="E601" s="767"/>
      <c r="F601" s="767"/>
      <c r="G601" s="767"/>
      <c r="H601" s="767"/>
    </row>
    <row r="602" spans="1:8">
      <c r="A602" s="1428" t="s">
        <v>95</v>
      </c>
      <c r="B602" s="1429"/>
      <c r="C602" s="800" t="s">
        <v>88</v>
      </c>
      <c r="D602" s="799" t="s">
        <v>628</v>
      </c>
      <c r="E602" s="799" t="s">
        <v>629</v>
      </c>
      <c r="F602" s="799" t="s">
        <v>630</v>
      </c>
      <c r="G602" s="801" t="s">
        <v>84</v>
      </c>
      <c r="H602" s="771"/>
    </row>
    <row r="603" spans="1:8">
      <c r="A603" s="1430" t="s">
        <v>1068</v>
      </c>
      <c r="B603" s="1431"/>
      <c r="C603" s="802">
        <v>1</v>
      </c>
      <c r="D603" s="803"/>
      <c r="E603" s="804"/>
      <c r="F603" s="805">
        <v>37500</v>
      </c>
      <c r="G603" s="780">
        <f>+F603</f>
        <v>37500</v>
      </c>
      <c r="H603" s="776"/>
    </row>
    <row r="604" spans="1:8">
      <c r="A604" s="1430"/>
      <c r="B604" s="1431"/>
      <c r="C604" s="802"/>
      <c r="D604" s="803"/>
      <c r="E604" s="804"/>
      <c r="F604" s="805"/>
      <c r="G604" s="780"/>
      <c r="H604" s="776"/>
    </row>
    <row r="605" spans="1:8" ht="13.5" thickBot="1">
      <c r="A605" s="1413"/>
      <c r="B605" s="1414"/>
      <c r="C605" s="807"/>
      <c r="D605" s="806"/>
      <c r="E605" s="806"/>
      <c r="F605" s="806"/>
      <c r="G605" s="808"/>
      <c r="H605" s="776"/>
    </row>
    <row r="606" spans="1:8" ht="13.5" thickBot="1">
      <c r="A606" s="767"/>
      <c r="B606" s="767"/>
      <c r="C606" s="767"/>
      <c r="D606" s="767"/>
      <c r="E606" s="767"/>
      <c r="F606" s="767"/>
      <c r="G606" s="786" t="s">
        <v>86</v>
      </c>
      <c r="H606" s="787">
        <f>SUM(G603:G605)</f>
        <v>37500</v>
      </c>
    </row>
    <row r="607" spans="1:8" ht="13.5" thickBot="1">
      <c r="A607" s="796" t="s">
        <v>96</v>
      </c>
      <c r="B607" s="796"/>
      <c r="C607" s="767"/>
      <c r="D607" s="767"/>
      <c r="E607" s="767"/>
      <c r="F607" s="767"/>
      <c r="G607" s="767"/>
      <c r="H607" s="767"/>
    </row>
    <row r="608" spans="1:8">
      <c r="A608" s="798" t="s">
        <v>97</v>
      </c>
      <c r="B608" s="799" t="s">
        <v>90</v>
      </c>
      <c r="C608" s="799" t="s">
        <v>98</v>
      </c>
      <c r="D608" s="799" t="s">
        <v>807</v>
      </c>
      <c r="E608" s="809" t="s">
        <v>808</v>
      </c>
      <c r="F608" s="799" t="s">
        <v>83</v>
      </c>
      <c r="G608" s="801" t="s">
        <v>84</v>
      </c>
      <c r="H608" s="771"/>
    </row>
    <row r="609" spans="1:8">
      <c r="A609" s="478" t="s">
        <v>227</v>
      </c>
      <c r="B609" s="468"/>
      <c r="C609" s="479">
        <f>PERSONAL!$E$31</f>
        <v>48800</v>
      </c>
      <c r="D609" s="480">
        <f>PERSONAL!$F$31</f>
        <v>1.7431000000000001</v>
      </c>
      <c r="E609" s="440">
        <f>+D609*C609</f>
        <v>85063.28</v>
      </c>
      <c r="F609" s="810">
        <v>12</v>
      </c>
      <c r="G609" s="780">
        <f>+E609/F609</f>
        <v>7088.6066666666666</v>
      </c>
      <c r="H609" s="776"/>
    </row>
    <row r="610" spans="1:8">
      <c r="A610" s="478" t="s">
        <v>101</v>
      </c>
      <c r="B610" s="467"/>
      <c r="C610" s="479">
        <f>PERSONAL!$E$32</f>
        <v>87200</v>
      </c>
      <c r="D610" s="480">
        <f>PERSONAL!$F$31</f>
        <v>1.7431000000000001</v>
      </c>
      <c r="E610" s="440">
        <f>+D610*C610</f>
        <v>151998.32</v>
      </c>
      <c r="F610" s="810">
        <f>+F609</f>
        <v>12</v>
      </c>
      <c r="G610" s="780">
        <f>+E610/F610</f>
        <v>12666.526666666667</v>
      </c>
      <c r="H610" s="776"/>
    </row>
    <row r="611" spans="1:8">
      <c r="A611" s="1415"/>
      <c r="B611" s="1416"/>
      <c r="C611" s="778"/>
      <c r="D611" s="480"/>
      <c r="E611" s="778"/>
      <c r="F611" s="779"/>
      <c r="G611" s="780"/>
      <c r="H611" s="776"/>
    </row>
    <row r="612" spans="1:8" ht="13.5" thickBot="1">
      <c r="A612" s="1413"/>
      <c r="B612" s="1414"/>
      <c r="C612" s="782"/>
      <c r="D612" s="811"/>
      <c r="E612" s="782"/>
      <c r="F612" s="812"/>
      <c r="G612" s="813"/>
      <c r="H612" s="785"/>
    </row>
    <row r="613" spans="1:8" ht="13.5" thickBot="1">
      <c r="A613" s="767"/>
      <c r="B613" s="767"/>
      <c r="C613" s="767"/>
      <c r="D613" s="767"/>
      <c r="E613" s="767"/>
      <c r="F613" s="767"/>
      <c r="G613" s="786" t="s">
        <v>86</v>
      </c>
      <c r="H613" s="787">
        <f>SUM(G609:G612)</f>
        <v>19755.133333333331</v>
      </c>
    </row>
    <row r="614" spans="1:8" ht="13.5" thickBot="1">
      <c r="A614" s="767"/>
      <c r="B614" s="767"/>
      <c r="C614" s="767"/>
      <c r="D614" s="767"/>
      <c r="E614" s="767"/>
      <c r="F614" s="767"/>
      <c r="G614" s="814"/>
      <c r="H614" s="767"/>
    </row>
    <row r="615" spans="1:8" ht="13.5" thickBot="1">
      <c r="A615" s="767"/>
      <c r="B615" s="767"/>
      <c r="C615" s="767"/>
      <c r="D615" s="767"/>
      <c r="E615" s="815" t="s">
        <v>102</v>
      </c>
      <c r="F615" s="816"/>
      <c r="G615" s="816"/>
      <c r="H615" s="787">
        <f>ROUND(H594+H600+H606+H613,0)</f>
        <v>576726</v>
      </c>
    </row>
    <row r="617" spans="1:8" ht="15">
      <c r="A617" s="186" t="s">
        <v>77</v>
      </c>
    </row>
    <row r="618" spans="1:8" ht="15.75" thickBot="1">
      <c r="A618" s="186"/>
    </row>
    <row r="619" spans="1:8" ht="13.15" customHeight="1">
      <c r="A619" s="1348" t="s">
        <v>213</v>
      </c>
      <c r="B619" s="1349"/>
      <c r="C619" s="1350"/>
      <c r="D619" s="448"/>
      <c r="E619" s="448"/>
      <c r="F619" s="448"/>
      <c r="G619" s="448"/>
      <c r="H619" s="449"/>
    </row>
    <row r="620" spans="1:8">
      <c r="A620" s="1351"/>
      <c r="B620" s="1352"/>
      <c r="C620" s="1353"/>
      <c r="D620" s="436"/>
      <c r="E620" s="450" t="s">
        <v>78</v>
      </c>
      <c r="F620" s="436"/>
      <c r="G620" s="436"/>
      <c r="H620" s="451"/>
    </row>
    <row r="621" spans="1:8" ht="13.5" thickBot="1">
      <c r="A621" s="1354"/>
      <c r="B621" s="1355"/>
      <c r="C621" s="1356"/>
      <c r="D621" s="1360"/>
      <c r="E621" s="1361"/>
      <c r="F621" s="1361"/>
      <c r="G621" s="1361"/>
      <c r="H621" s="1362"/>
    </row>
    <row r="622" spans="1:8">
      <c r="A622" s="455"/>
      <c r="B622" s="436"/>
      <c r="C622" s="436"/>
      <c r="D622" s="436"/>
      <c r="E622" s="436"/>
      <c r="F622" s="436"/>
      <c r="G622" s="436"/>
      <c r="H622" s="436"/>
    </row>
    <row r="623" spans="1:8">
      <c r="A623" s="455" t="s">
        <v>547</v>
      </c>
      <c r="B623" s="456"/>
      <c r="C623" s="436"/>
      <c r="E623" s="456"/>
      <c r="G623" s="456" t="s">
        <v>1064</v>
      </c>
      <c r="H623" s="436" t="str">
        <f>+PRESUPUESTO!A136</f>
        <v>7.3.8</v>
      </c>
    </row>
    <row r="624" spans="1:8" s="931" customFormat="1" ht="58.9" customHeight="1">
      <c r="A624" s="928" t="s">
        <v>1065</v>
      </c>
      <c r="B624" s="1375" t="str">
        <f>+VLOOKUP(H623,PRESUPUESTO!$A$135:$F$142,2,FALSE)</f>
        <v>Suministro, transporte y colocación de cuello para MH prefabricado con un diámetro de 1,20 m. según especificaciones técnicas de EEPP de Medellín. Incluye cuello prefabricado, mortero de pega 1:4, transportes externo e interno de los materiales y todos los demás elementos necesarios para su correcta instalación y funcionamiento.</v>
      </c>
      <c r="C624" s="1375"/>
      <c r="D624" s="1375"/>
      <c r="E624" s="1375"/>
      <c r="F624" s="1375"/>
      <c r="G624" s="929" t="s">
        <v>1066</v>
      </c>
      <c r="H624" s="930" t="str">
        <f>+VLOOKUP(H623,PRESUPUESTO!$A$135:$F$142,3,FALSE)</f>
        <v>un</v>
      </c>
    </row>
    <row r="625" spans="1:8" ht="15">
      <c r="A625" s="186"/>
    </row>
    <row r="626" spans="1:8" ht="13.5" thickBot="1">
      <c r="A626" s="766" t="s">
        <v>79</v>
      </c>
      <c r="B626" s="766"/>
      <c r="C626" s="767"/>
      <c r="D626" s="767"/>
      <c r="E626" s="767"/>
      <c r="F626" s="767"/>
      <c r="G626" s="767"/>
      <c r="H626" s="767"/>
    </row>
    <row r="627" spans="1:8">
      <c r="A627" s="1417" t="s">
        <v>80</v>
      </c>
      <c r="B627" s="1418"/>
      <c r="C627" s="1419"/>
      <c r="D627" s="769" t="s">
        <v>81</v>
      </c>
      <c r="E627" s="770" t="s">
        <v>82</v>
      </c>
      <c r="F627" s="769" t="s">
        <v>83</v>
      </c>
      <c r="G627" s="768" t="s">
        <v>84</v>
      </c>
      <c r="H627" s="771"/>
    </row>
    <row r="628" spans="1:8">
      <c r="A628" s="1376" t="s">
        <v>85</v>
      </c>
      <c r="B628" s="1377"/>
      <c r="C628" s="1378"/>
      <c r="D628" s="772"/>
      <c r="E628" s="773"/>
      <c r="F628" s="774"/>
      <c r="G628" s="775">
        <f>+H651*0.05</f>
        <v>2963.2700000000004</v>
      </c>
      <c r="H628" s="776"/>
    </row>
    <row r="629" spans="1:8">
      <c r="A629" s="1376" t="s">
        <v>1069</v>
      </c>
      <c r="B629" s="1377"/>
      <c r="C629" s="1378"/>
      <c r="D629" s="772"/>
      <c r="E629" s="773">
        <v>198000</v>
      </c>
      <c r="F629" s="804">
        <f>+F647/1</f>
        <v>4</v>
      </c>
      <c r="G629" s="775">
        <f>+E629/F629</f>
        <v>49500</v>
      </c>
      <c r="H629" s="776"/>
    </row>
    <row r="630" spans="1:8">
      <c r="A630" s="1376"/>
      <c r="B630" s="1377"/>
      <c r="C630" s="1378"/>
      <c r="D630" s="772"/>
      <c r="E630" s="773"/>
      <c r="F630" s="774"/>
      <c r="G630" s="775"/>
      <c r="H630" s="776"/>
    </row>
    <row r="631" spans="1:8" ht="13.5" thickBot="1">
      <c r="A631" s="1420"/>
      <c r="B631" s="1421"/>
      <c r="C631" s="1422"/>
      <c r="D631" s="781"/>
      <c r="E631" s="782"/>
      <c r="F631" s="783"/>
      <c r="G631" s="784"/>
      <c r="H631" s="785"/>
    </row>
    <row r="632" spans="1:8" ht="13.5" thickBot="1">
      <c r="A632" s="767"/>
      <c r="B632" s="767"/>
      <c r="C632" s="767"/>
      <c r="D632" s="767"/>
      <c r="E632" s="767"/>
      <c r="F632" s="767"/>
      <c r="G632" s="786" t="s">
        <v>86</v>
      </c>
      <c r="H632" s="787">
        <f>SUM(G628:G631)</f>
        <v>52463.270000000004</v>
      </c>
    </row>
    <row r="633" spans="1:8" ht="13.5" thickBot="1">
      <c r="A633" s="766" t="s">
        <v>87</v>
      </c>
      <c r="B633" s="766"/>
      <c r="C633" s="767"/>
      <c r="D633" s="767"/>
      <c r="E633" s="767"/>
      <c r="F633" s="767"/>
      <c r="G633" s="767"/>
      <c r="H633" s="767"/>
    </row>
    <row r="634" spans="1:8">
      <c r="A634" s="1417" t="s">
        <v>80</v>
      </c>
      <c r="B634" s="1418"/>
      <c r="C634" s="1419"/>
      <c r="D634" s="769" t="s">
        <v>88</v>
      </c>
      <c r="E634" s="769" t="s">
        <v>89</v>
      </c>
      <c r="F634" s="769" t="s">
        <v>90</v>
      </c>
      <c r="G634" s="768" t="s">
        <v>84</v>
      </c>
      <c r="H634" s="771"/>
    </row>
    <row r="635" spans="1:8">
      <c r="A635" s="1423" t="s">
        <v>1070</v>
      </c>
      <c r="B635" s="1424"/>
      <c r="C635" s="1424"/>
      <c r="D635" s="932" t="s">
        <v>268</v>
      </c>
      <c r="E635" s="933">
        <v>637721</v>
      </c>
      <c r="F635" s="790">
        <v>1</v>
      </c>
      <c r="G635" s="935">
        <f>+E635*F635</f>
        <v>637721</v>
      </c>
      <c r="H635" s="776"/>
    </row>
    <row r="636" spans="1:8">
      <c r="A636" s="1423" t="s">
        <v>1071</v>
      </c>
      <c r="B636" s="1424"/>
      <c r="C636" s="1424"/>
      <c r="D636" s="932" t="s">
        <v>91</v>
      </c>
      <c r="E636" s="938">
        <f>+APA!$H$46</f>
        <v>616978</v>
      </c>
      <c r="F636" s="790">
        <f>0.04*1.05</f>
        <v>4.2000000000000003E-2</v>
      </c>
      <c r="G636" s="935">
        <f>+E636*F636</f>
        <v>25913.076000000001</v>
      </c>
      <c r="H636" s="776"/>
    </row>
    <row r="637" spans="1:8" ht="13.5" thickBot="1">
      <c r="A637" s="1425"/>
      <c r="B637" s="1426"/>
      <c r="C637" s="1427"/>
      <c r="D637" s="781"/>
      <c r="E637" s="782"/>
      <c r="F637" s="783"/>
      <c r="G637" s="784"/>
      <c r="H637" s="785"/>
    </row>
    <row r="638" spans="1:8" ht="13.5" thickBot="1">
      <c r="A638" s="767"/>
      <c r="B638" s="767"/>
      <c r="C638" s="767"/>
      <c r="D638" s="767"/>
      <c r="E638" s="767"/>
      <c r="F638" s="767"/>
      <c r="G638" s="786" t="s">
        <v>86</v>
      </c>
      <c r="H638" s="787">
        <f>SUM(G635:G636)</f>
        <v>663634.076</v>
      </c>
    </row>
    <row r="639" spans="1:8" ht="13.5" thickBot="1">
      <c r="A639" s="796" t="s">
        <v>94</v>
      </c>
      <c r="B639" s="796"/>
      <c r="C639" s="797"/>
      <c r="D639" s="767"/>
      <c r="E639" s="767"/>
      <c r="F639" s="767"/>
      <c r="G639" s="767"/>
      <c r="H639" s="767"/>
    </row>
    <row r="640" spans="1:8">
      <c r="A640" s="1428" t="s">
        <v>95</v>
      </c>
      <c r="B640" s="1429"/>
      <c r="C640" s="800" t="s">
        <v>88</v>
      </c>
      <c r="D640" s="799" t="s">
        <v>628</v>
      </c>
      <c r="E640" s="799" t="s">
        <v>629</v>
      </c>
      <c r="F640" s="799" t="s">
        <v>630</v>
      </c>
      <c r="G640" s="801" t="s">
        <v>84</v>
      </c>
      <c r="H640" s="771"/>
    </row>
    <row r="641" spans="1:8">
      <c r="A641" s="1430" t="s">
        <v>1068</v>
      </c>
      <c r="B641" s="1431"/>
      <c r="C641" s="802">
        <v>1</v>
      </c>
      <c r="D641" s="803"/>
      <c r="E641" s="804"/>
      <c r="F641" s="805">
        <v>37500</v>
      </c>
      <c r="G641" s="780">
        <f>+F641</f>
        <v>37500</v>
      </c>
      <c r="H641" s="776"/>
    </row>
    <row r="642" spans="1:8">
      <c r="A642" s="1430"/>
      <c r="B642" s="1431"/>
      <c r="C642" s="802"/>
      <c r="D642" s="803"/>
      <c r="E642" s="804"/>
      <c r="F642" s="805"/>
      <c r="G642" s="780"/>
      <c r="H642" s="776"/>
    </row>
    <row r="643" spans="1:8" ht="13.5" thickBot="1">
      <c r="A643" s="1413"/>
      <c r="B643" s="1414"/>
      <c r="C643" s="807"/>
      <c r="D643" s="806"/>
      <c r="E643" s="806"/>
      <c r="F643" s="806"/>
      <c r="G643" s="808"/>
      <c r="H643" s="776"/>
    </row>
    <row r="644" spans="1:8" ht="13.5" thickBot="1">
      <c r="A644" s="767"/>
      <c r="B644" s="767"/>
      <c r="C644" s="767"/>
      <c r="D644" s="767"/>
      <c r="E644" s="767"/>
      <c r="F644" s="767"/>
      <c r="G644" s="786" t="s">
        <v>86</v>
      </c>
      <c r="H644" s="787">
        <f>SUM(G641:G643)</f>
        <v>37500</v>
      </c>
    </row>
    <row r="645" spans="1:8" ht="13.5" thickBot="1">
      <c r="A645" s="796" t="s">
        <v>96</v>
      </c>
      <c r="B645" s="796"/>
      <c r="C645" s="767"/>
      <c r="D645" s="767"/>
      <c r="E645" s="767"/>
      <c r="F645" s="767"/>
      <c r="G645" s="767"/>
      <c r="H645" s="767"/>
    </row>
    <row r="646" spans="1:8">
      <c r="A646" s="798" t="s">
        <v>97</v>
      </c>
      <c r="B646" s="799" t="s">
        <v>90</v>
      </c>
      <c r="C646" s="799" t="s">
        <v>98</v>
      </c>
      <c r="D646" s="799" t="s">
        <v>807</v>
      </c>
      <c r="E646" s="809" t="s">
        <v>808</v>
      </c>
      <c r="F646" s="799" t="s">
        <v>83</v>
      </c>
      <c r="G646" s="801" t="s">
        <v>84</v>
      </c>
      <c r="H646" s="771"/>
    </row>
    <row r="647" spans="1:8">
      <c r="A647" s="478" t="s">
        <v>227</v>
      </c>
      <c r="B647" s="468"/>
      <c r="C647" s="479">
        <f>PERSONAL!$E$31</f>
        <v>48800</v>
      </c>
      <c r="D647" s="480">
        <f>PERSONAL!$F$31</f>
        <v>1.7431000000000001</v>
      </c>
      <c r="E647" s="440">
        <f>+D647*C647</f>
        <v>85063.28</v>
      </c>
      <c r="F647" s="810">
        <v>4</v>
      </c>
      <c r="G647" s="780">
        <f>+E647/F647</f>
        <v>21265.82</v>
      </c>
      <c r="H647" s="776"/>
    </row>
    <row r="648" spans="1:8">
      <c r="A648" s="478" t="s">
        <v>101</v>
      </c>
      <c r="B648" s="467"/>
      <c r="C648" s="479">
        <f>PERSONAL!$E$32</f>
        <v>87200</v>
      </c>
      <c r="D648" s="480">
        <f>PERSONAL!$F$31</f>
        <v>1.7431000000000001</v>
      </c>
      <c r="E648" s="440">
        <f>+D648*C648</f>
        <v>151998.32</v>
      </c>
      <c r="F648" s="810">
        <f>+F647</f>
        <v>4</v>
      </c>
      <c r="G648" s="780">
        <f>+E648/F648</f>
        <v>37999.58</v>
      </c>
      <c r="H648" s="776"/>
    </row>
    <row r="649" spans="1:8">
      <c r="A649" s="1415"/>
      <c r="B649" s="1416"/>
      <c r="C649" s="778"/>
      <c r="D649" s="480"/>
      <c r="E649" s="778"/>
      <c r="F649" s="779"/>
      <c r="G649" s="780"/>
      <c r="H649" s="776"/>
    </row>
    <row r="650" spans="1:8" ht="13.5" thickBot="1">
      <c r="A650" s="1413"/>
      <c r="B650" s="1414"/>
      <c r="C650" s="782"/>
      <c r="D650" s="811"/>
      <c r="E650" s="782"/>
      <c r="F650" s="812"/>
      <c r="G650" s="813"/>
      <c r="H650" s="785"/>
    </row>
    <row r="651" spans="1:8" ht="13.5" thickBot="1">
      <c r="A651" s="767"/>
      <c r="B651" s="767"/>
      <c r="C651" s="767"/>
      <c r="D651" s="767"/>
      <c r="E651" s="767"/>
      <c r="F651" s="767"/>
      <c r="G651" s="786" t="s">
        <v>86</v>
      </c>
      <c r="H651" s="787">
        <f>SUM(G647:G650)</f>
        <v>59265.4</v>
      </c>
    </row>
    <row r="652" spans="1:8" ht="13.5" thickBot="1">
      <c r="A652" s="767"/>
      <c r="B652" s="767"/>
      <c r="C652" s="767"/>
      <c r="D652" s="767"/>
      <c r="E652" s="767"/>
      <c r="F652" s="767"/>
      <c r="G652" s="814"/>
      <c r="H652" s="767"/>
    </row>
    <row r="653" spans="1:8" ht="13.5" thickBot="1">
      <c r="A653" s="767"/>
      <c r="B653" s="767"/>
      <c r="C653" s="767"/>
      <c r="D653" s="767"/>
      <c r="E653" s="815" t="s">
        <v>102</v>
      </c>
      <c r="F653" s="816"/>
      <c r="G653" s="816"/>
      <c r="H653" s="787">
        <f>ROUND(H632+H638+H644+H651,0)</f>
        <v>812863</v>
      </c>
    </row>
    <row r="654" spans="1:8" ht="15.75" thickBot="1">
      <c r="A654" s="186"/>
    </row>
    <row r="655" spans="1:8" ht="13.15" customHeight="1">
      <c r="A655" s="1348" t="s">
        <v>213</v>
      </c>
      <c r="B655" s="1349"/>
      <c r="C655" s="1350"/>
      <c r="D655" s="448"/>
      <c r="E655" s="448"/>
      <c r="F655" s="448"/>
      <c r="G655" s="448"/>
      <c r="H655" s="449"/>
    </row>
    <row r="656" spans="1:8">
      <c r="A656" s="1351"/>
      <c r="B656" s="1352"/>
      <c r="C656" s="1353"/>
      <c r="D656" s="436"/>
      <c r="E656" s="450" t="s">
        <v>78</v>
      </c>
      <c r="F656" s="436"/>
      <c r="G656" s="436"/>
      <c r="H656" s="451"/>
    </row>
    <row r="657" spans="1:8" ht="13.5" thickBot="1">
      <c r="A657" s="1354"/>
      <c r="B657" s="1355"/>
      <c r="C657" s="1356"/>
      <c r="D657" s="1360"/>
      <c r="E657" s="1361"/>
      <c r="F657" s="1361"/>
      <c r="G657" s="1361"/>
      <c r="H657" s="1362"/>
    </row>
    <row r="658" spans="1:8">
      <c r="A658" s="455"/>
      <c r="B658" s="436"/>
      <c r="C658" s="436"/>
      <c r="D658" s="436"/>
      <c r="E658" s="436"/>
      <c r="F658" s="436"/>
      <c r="G658" s="436"/>
      <c r="H658" s="436"/>
    </row>
    <row r="659" spans="1:8">
      <c r="A659" s="455" t="s">
        <v>547</v>
      </c>
      <c r="B659" s="456"/>
      <c r="C659" s="436"/>
      <c r="E659" s="456"/>
      <c r="G659" s="456" t="s">
        <v>1064</v>
      </c>
      <c r="H659" s="436" t="str">
        <f>+PRESUPUESTO!$A$137</f>
        <v>7.3.9</v>
      </c>
    </row>
    <row r="660" spans="1:8" s="931" customFormat="1" ht="58.9" customHeight="1">
      <c r="A660" s="928" t="s">
        <v>1065</v>
      </c>
      <c r="B660" s="1375" t="str">
        <f>+VLOOKUP(H659,PRESUPUESTO!$A$135:$F$142,2,FALSE)</f>
        <v>Suministro, transporte y colocación de cono para MH prefabricado con un diámetro de 1,20 m. según especificaciones técnicas de EEPP de Medellín. Incluye cono excéntrico, mortero de pega 1:4, transportes externo e interno de los materiales y todos los demás elementos necesarios para su correcta instalación y funcionamiento.</v>
      </c>
      <c r="C660" s="1375"/>
      <c r="D660" s="1375"/>
      <c r="E660" s="1375"/>
      <c r="F660" s="1375"/>
      <c r="G660" s="929" t="s">
        <v>1066</v>
      </c>
      <c r="H660" s="930" t="str">
        <f>+VLOOKUP(H659,PRESUPUESTO!$A$135:$F$142,3,FALSE)</f>
        <v>un</v>
      </c>
    </row>
    <row r="661" spans="1:8" ht="15">
      <c r="A661" s="186"/>
    </row>
    <row r="662" spans="1:8" ht="13.5" thickBot="1">
      <c r="A662" s="766" t="s">
        <v>79</v>
      </c>
      <c r="B662" s="766"/>
      <c r="C662" s="767"/>
      <c r="D662" s="767"/>
      <c r="E662" s="767"/>
      <c r="F662" s="767"/>
      <c r="G662" s="767"/>
      <c r="H662" s="767"/>
    </row>
    <row r="663" spans="1:8">
      <c r="A663" s="1417" t="s">
        <v>80</v>
      </c>
      <c r="B663" s="1418"/>
      <c r="C663" s="1419"/>
      <c r="D663" s="769" t="s">
        <v>81</v>
      </c>
      <c r="E663" s="770" t="s">
        <v>82</v>
      </c>
      <c r="F663" s="769" t="s">
        <v>83</v>
      </c>
      <c r="G663" s="768" t="s">
        <v>84</v>
      </c>
      <c r="H663" s="771"/>
    </row>
    <row r="664" spans="1:8">
      <c r="A664" s="1376" t="s">
        <v>85</v>
      </c>
      <c r="B664" s="1377"/>
      <c r="C664" s="1378"/>
      <c r="D664" s="772"/>
      <c r="E664" s="773"/>
      <c r="F664" s="774"/>
      <c r="G664" s="775">
        <f>+H688*0.05</f>
        <v>11853.080000000002</v>
      </c>
      <c r="H664" s="776"/>
    </row>
    <row r="665" spans="1:8">
      <c r="A665" s="1376" t="s">
        <v>1069</v>
      </c>
      <c r="B665" s="1377"/>
      <c r="C665" s="1378"/>
      <c r="D665" s="772"/>
      <c r="E665" s="773">
        <v>198000</v>
      </c>
      <c r="F665" s="804">
        <v>1.2</v>
      </c>
      <c r="G665" s="775">
        <f>+E665/F665</f>
        <v>165000</v>
      </c>
      <c r="H665" s="776"/>
    </row>
    <row r="666" spans="1:8">
      <c r="A666" s="1376"/>
      <c r="B666" s="1377"/>
      <c r="C666" s="1378"/>
      <c r="D666" s="772"/>
      <c r="E666" s="773"/>
      <c r="F666" s="774"/>
      <c r="G666" s="775"/>
      <c r="H666" s="776"/>
    </row>
    <row r="667" spans="1:8" ht="13.5" thickBot="1">
      <c r="A667" s="1420"/>
      <c r="B667" s="1421"/>
      <c r="C667" s="1422"/>
      <c r="D667" s="781"/>
      <c r="E667" s="782"/>
      <c r="F667" s="783"/>
      <c r="G667" s="784"/>
      <c r="H667" s="785"/>
    </row>
    <row r="668" spans="1:8" ht="13.5" thickBot="1">
      <c r="A668" s="767"/>
      <c r="B668" s="767"/>
      <c r="C668" s="767"/>
      <c r="D668" s="767"/>
      <c r="E668" s="767"/>
      <c r="F668" s="767"/>
      <c r="G668" s="786" t="s">
        <v>86</v>
      </c>
      <c r="H668" s="787">
        <f>SUM(G664:G667)</f>
        <v>176853.08000000002</v>
      </c>
    </row>
    <row r="669" spans="1:8" ht="13.5" thickBot="1">
      <c r="A669" s="766" t="s">
        <v>87</v>
      </c>
      <c r="B669" s="766"/>
      <c r="C669" s="767"/>
      <c r="D669" s="767"/>
      <c r="E669" s="767"/>
      <c r="F669" s="767"/>
      <c r="G669" s="767"/>
      <c r="H669" s="767"/>
    </row>
    <row r="670" spans="1:8">
      <c r="A670" s="1417" t="s">
        <v>80</v>
      </c>
      <c r="B670" s="1418"/>
      <c r="C670" s="1419"/>
      <c r="D670" s="769" t="s">
        <v>88</v>
      </c>
      <c r="E670" s="769" t="s">
        <v>89</v>
      </c>
      <c r="F670" s="769" t="s">
        <v>90</v>
      </c>
      <c r="G670" s="768" t="s">
        <v>84</v>
      </c>
      <c r="H670" s="771"/>
    </row>
    <row r="671" spans="1:8">
      <c r="A671" s="1432" t="s">
        <v>1072</v>
      </c>
      <c r="B671" s="1433"/>
      <c r="C671" s="1434"/>
      <c r="D671" s="788" t="s">
        <v>268</v>
      </c>
      <c r="E671" s="933">
        <v>845614</v>
      </c>
      <c r="F671" s="790">
        <v>1</v>
      </c>
      <c r="G671" s="791">
        <f>+E671*F671</f>
        <v>845614</v>
      </c>
      <c r="H671" s="776"/>
    </row>
    <row r="672" spans="1:8">
      <c r="A672" s="1432" t="s">
        <v>1073</v>
      </c>
      <c r="B672" s="1433"/>
      <c r="C672" s="1434"/>
      <c r="D672" s="788" t="s">
        <v>268</v>
      </c>
      <c r="E672" s="933">
        <v>89964</v>
      </c>
      <c r="F672" s="790">
        <v>1</v>
      </c>
      <c r="G672" s="940">
        <f>+E672*F672</f>
        <v>89964</v>
      </c>
      <c r="H672" s="776"/>
    </row>
    <row r="673" spans="1:8">
      <c r="A673" s="1432" t="s">
        <v>1071</v>
      </c>
      <c r="B673" s="1433"/>
      <c r="C673" s="1434"/>
      <c r="D673" s="788" t="s">
        <v>91</v>
      </c>
      <c r="E673" s="938">
        <f>+APA!$H$46</f>
        <v>616978</v>
      </c>
      <c r="F673" s="790">
        <f>0.018*1.05</f>
        <v>1.89E-2</v>
      </c>
      <c r="G673" s="940">
        <f>+E673*F673</f>
        <v>11660.8842</v>
      </c>
      <c r="H673" s="776"/>
    </row>
    <row r="674" spans="1:8" ht="13.5" thickBot="1">
      <c r="A674" s="1425"/>
      <c r="B674" s="1426"/>
      <c r="C674" s="1427"/>
      <c r="D674" s="781"/>
      <c r="E674" s="782"/>
      <c r="F674" s="783"/>
      <c r="G674" s="784"/>
      <c r="H674" s="785"/>
    </row>
    <row r="675" spans="1:8" ht="13.5" thickBot="1">
      <c r="A675" s="767"/>
      <c r="B675" s="767"/>
      <c r="C675" s="767"/>
      <c r="D675" s="767"/>
      <c r="E675" s="767"/>
      <c r="F675" s="767"/>
      <c r="G675" s="786" t="s">
        <v>86</v>
      </c>
      <c r="H675" s="787">
        <f>SUM(G671:G673)</f>
        <v>947238.88419999997</v>
      </c>
    </row>
    <row r="676" spans="1:8" ht="13.5" thickBot="1">
      <c r="A676" s="796" t="s">
        <v>94</v>
      </c>
      <c r="B676" s="796"/>
      <c r="C676" s="797"/>
      <c r="D676" s="767"/>
      <c r="E676" s="767"/>
      <c r="F676" s="767"/>
      <c r="G676" s="767"/>
      <c r="H676" s="767"/>
    </row>
    <row r="677" spans="1:8">
      <c r="A677" s="1428" t="s">
        <v>95</v>
      </c>
      <c r="B677" s="1429"/>
      <c r="C677" s="800" t="s">
        <v>88</v>
      </c>
      <c r="D677" s="799" t="s">
        <v>628</v>
      </c>
      <c r="E677" s="799" t="s">
        <v>629</v>
      </c>
      <c r="F677" s="799" t="s">
        <v>630</v>
      </c>
      <c r="G677" s="801" t="s">
        <v>84</v>
      </c>
      <c r="H677" s="771"/>
    </row>
    <row r="678" spans="1:8">
      <c r="A678" s="1430" t="s">
        <v>1068</v>
      </c>
      <c r="B678" s="1431"/>
      <c r="C678" s="802">
        <v>1</v>
      </c>
      <c r="D678" s="803"/>
      <c r="E678" s="804"/>
      <c r="F678" s="805">
        <v>39100</v>
      </c>
      <c r="G678" s="780">
        <f>+F678</f>
        <v>39100</v>
      </c>
      <c r="H678" s="776"/>
    </row>
    <row r="679" spans="1:8">
      <c r="A679" s="1430"/>
      <c r="B679" s="1431"/>
      <c r="C679" s="802"/>
      <c r="D679" s="777"/>
      <c r="E679" s="803"/>
      <c r="F679" s="778"/>
      <c r="G679" s="780"/>
      <c r="H679" s="776"/>
    </row>
    <row r="680" spans="1:8" ht="13.5" thickBot="1">
      <c r="A680" s="1413"/>
      <c r="B680" s="1414"/>
      <c r="C680" s="807"/>
      <c r="D680" s="806"/>
      <c r="E680" s="806"/>
      <c r="F680" s="806"/>
      <c r="G680" s="808"/>
      <c r="H680" s="776"/>
    </row>
    <row r="681" spans="1:8" ht="13.5" thickBot="1">
      <c r="A681" s="767"/>
      <c r="B681" s="767"/>
      <c r="C681" s="767"/>
      <c r="D681" s="767"/>
      <c r="E681" s="767"/>
      <c r="F681" s="767"/>
      <c r="G681" s="786" t="s">
        <v>86</v>
      </c>
      <c r="H681" s="787">
        <f>SUM(G678:G680)</f>
        <v>39100</v>
      </c>
    </row>
    <row r="682" spans="1:8" ht="13.5" thickBot="1">
      <c r="A682" s="796" t="s">
        <v>96</v>
      </c>
      <c r="B682" s="796"/>
      <c r="C682" s="767"/>
      <c r="D682" s="767"/>
      <c r="E682" s="767"/>
      <c r="F682" s="767"/>
      <c r="G682" s="767"/>
      <c r="H682" s="767"/>
    </row>
    <row r="683" spans="1:8">
      <c r="A683" s="798" t="s">
        <v>97</v>
      </c>
      <c r="B683" s="799" t="s">
        <v>90</v>
      </c>
      <c r="C683" s="799" t="s">
        <v>98</v>
      </c>
      <c r="D683" s="799" t="s">
        <v>807</v>
      </c>
      <c r="E683" s="809" t="s">
        <v>808</v>
      </c>
      <c r="F683" s="799" t="s">
        <v>83</v>
      </c>
      <c r="G683" s="801" t="s">
        <v>84</v>
      </c>
      <c r="H683" s="771"/>
    </row>
    <row r="684" spans="1:8">
      <c r="A684" s="478" t="s">
        <v>227</v>
      </c>
      <c r="B684" s="468"/>
      <c r="C684" s="479">
        <f>PERSONAL!$E$31</f>
        <v>48800</v>
      </c>
      <c r="D684" s="480">
        <f>PERSONAL!$F$31</f>
        <v>1.7431000000000001</v>
      </c>
      <c r="E684" s="440">
        <f>+D684*C684</f>
        <v>85063.28</v>
      </c>
      <c r="F684" s="810">
        <v>1</v>
      </c>
      <c r="G684" s="780">
        <f>+E684/F684</f>
        <v>85063.28</v>
      </c>
      <c r="H684" s="776"/>
    </row>
    <row r="685" spans="1:8">
      <c r="A685" s="478" t="s">
        <v>101</v>
      </c>
      <c r="B685" s="467"/>
      <c r="C685" s="479">
        <f>PERSONAL!$E$32</f>
        <v>87200</v>
      </c>
      <c r="D685" s="480">
        <f>PERSONAL!$F$31</f>
        <v>1.7431000000000001</v>
      </c>
      <c r="E685" s="440">
        <f>+D685*C685</f>
        <v>151998.32</v>
      </c>
      <c r="F685" s="810">
        <f>+F684</f>
        <v>1</v>
      </c>
      <c r="G685" s="780">
        <f>+E685/F685</f>
        <v>151998.32</v>
      </c>
      <c r="H685" s="776"/>
    </row>
    <row r="686" spans="1:8">
      <c r="A686" s="1415"/>
      <c r="B686" s="1416"/>
      <c r="C686" s="778"/>
      <c r="D686" s="480"/>
      <c r="E686" s="778"/>
      <c r="F686" s="779"/>
      <c r="G686" s="780"/>
      <c r="H686" s="776"/>
    </row>
    <row r="687" spans="1:8" ht="13.5" thickBot="1">
      <c r="A687" s="1413"/>
      <c r="B687" s="1414"/>
      <c r="C687" s="782"/>
      <c r="D687" s="811"/>
      <c r="E687" s="782"/>
      <c r="F687" s="812"/>
      <c r="G687" s="813"/>
      <c r="H687" s="785"/>
    </row>
    <row r="688" spans="1:8" ht="13.5" thickBot="1">
      <c r="A688" s="767"/>
      <c r="B688" s="767"/>
      <c r="C688" s="767"/>
      <c r="D688" s="767"/>
      <c r="E688" s="767"/>
      <c r="F688" s="767"/>
      <c r="G688" s="786" t="s">
        <v>86</v>
      </c>
      <c r="H688" s="787">
        <f>SUM(G684:G687)</f>
        <v>237061.6</v>
      </c>
    </row>
    <row r="689" spans="1:8" ht="13.5" thickBot="1">
      <c r="A689" s="767"/>
      <c r="B689" s="767"/>
      <c r="C689" s="767"/>
      <c r="D689" s="767"/>
      <c r="E689" s="767"/>
      <c r="F689" s="767"/>
      <c r="G689" s="814"/>
      <c r="H689" s="767"/>
    </row>
    <row r="690" spans="1:8" ht="13.5" thickBot="1">
      <c r="A690" s="767"/>
      <c r="B690" s="767"/>
      <c r="C690" s="767"/>
      <c r="D690" s="767"/>
      <c r="E690" s="815" t="s">
        <v>102</v>
      </c>
      <c r="F690" s="816"/>
      <c r="G690" s="816"/>
      <c r="H690" s="787">
        <f>ROUND(H668+H675+H681+H688,0)</f>
        <v>1400254</v>
      </c>
    </row>
    <row r="691" spans="1:8" ht="15.75" thickBot="1">
      <c r="A691" s="186"/>
    </row>
    <row r="692" spans="1:8" ht="13.15" customHeight="1">
      <c r="A692" s="1348" t="s">
        <v>213</v>
      </c>
      <c r="B692" s="1349"/>
      <c r="C692" s="1350"/>
      <c r="D692" s="448"/>
      <c r="E692" s="448"/>
      <c r="F692" s="448"/>
      <c r="G692" s="448"/>
      <c r="H692" s="449"/>
    </row>
    <row r="693" spans="1:8">
      <c r="A693" s="1351"/>
      <c r="B693" s="1352"/>
      <c r="C693" s="1353"/>
      <c r="D693" s="436"/>
      <c r="E693" s="450" t="s">
        <v>78</v>
      </c>
      <c r="F693" s="436"/>
      <c r="G693" s="436"/>
      <c r="H693" s="451"/>
    </row>
    <row r="694" spans="1:8" ht="13.5" thickBot="1">
      <c r="A694" s="1354"/>
      <c r="B694" s="1355"/>
      <c r="C694" s="1356"/>
      <c r="D694" s="1360"/>
      <c r="E694" s="1361"/>
      <c r="F694" s="1361"/>
      <c r="G694" s="1361"/>
      <c r="H694" s="1362"/>
    </row>
    <row r="695" spans="1:8">
      <c r="A695" s="455"/>
      <c r="B695" s="436"/>
      <c r="C695" s="436"/>
      <c r="D695" s="436"/>
      <c r="E695" s="436"/>
      <c r="F695" s="436"/>
      <c r="G695" s="436"/>
      <c r="H695" s="436"/>
    </row>
    <row r="696" spans="1:8">
      <c r="A696" s="455" t="s">
        <v>547</v>
      </c>
      <c r="B696" s="456"/>
      <c r="C696" s="436"/>
      <c r="E696" s="456"/>
      <c r="G696" s="456" t="s">
        <v>1064</v>
      </c>
      <c r="H696" s="436" t="str">
        <f>+PRESUPUESTO!$A$138</f>
        <v>7.3.10</v>
      </c>
    </row>
    <row r="697" spans="1:8" s="931" customFormat="1" ht="79.900000000000006" customHeight="1">
      <c r="A697" s="928" t="s">
        <v>1065</v>
      </c>
      <c r="B697" s="1375" t="str">
        <f>+VLOOKUP(H696,PRESUPUESTO!$A$135:$F$142,2,FALSE)</f>
        <v>Suministro, transporte e instalación de cilindro prefabricado para MH con un diámetro de 1,20 m y altura 1.00 m. Incluye mortero para ajuste y pega del cilindro y resane de las perforaciones, Según especificaciones técnicas de EEPP de Medellín y de diseño,  Incluye suministro, transporte externo e instalación de los materiales, descargue y transportes internos con equipo retroexcavadora hasta sitio de acopio y de este al sitio de instalación y todo lo necesario para su correcta instalación y funcionamiento..</v>
      </c>
      <c r="C697" s="1375"/>
      <c r="D697" s="1375"/>
      <c r="E697" s="1375"/>
      <c r="F697" s="1375"/>
      <c r="G697" s="929" t="s">
        <v>1066</v>
      </c>
      <c r="H697" s="930" t="str">
        <f>+VLOOKUP(H696,PRESUPUESTO!$A$135:$F$142,3,FALSE)</f>
        <v>ml</v>
      </c>
    </row>
    <row r="698" spans="1:8" ht="15">
      <c r="A698" s="186"/>
    </row>
    <row r="699" spans="1:8" ht="13.5" thickBot="1">
      <c r="A699" s="766" t="s">
        <v>79</v>
      </c>
      <c r="B699" s="766"/>
      <c r="C699" s="767"/>
      <c r="D699" s="767"/>
      <c r="E699" s="767"/>
      <c r="F699" s="767"/>
      <c r="G699" s="767"/>
      <c r="H699" s="767"/>
    </row>
    <row r="700" spans="1:8">
      <c r="A700" s="1417" t="s">
        <v>80</v>
      </c>
      <c r="B700" s="1418"/>
      <c r="C700" s="1419"/>
      <c r="D700" s="769" t="s">
        <v>81</v>
      </c>
      <c r="E700" s="770" t="s">
        <v>82</v>
      </c>
      <c r="F700" s="769" t="s">
        <v>83</v>
      </c>
      <c r="G700" s="768" t="s">
        <v>84</v>
      </c>
      <c r="H700" s="771"/>
    </row>
    <row r="701" spans="1:8">
      <c r="A701" s="1376" t="s">
        <v>85</v>
      </c>
      <c r="B701" s="1377"/>
      <c r="C701" s="1378"/>
      <c r="D701" s="772"/>
      <c r="E701" s="773"/>
      <c r="F701" s="774"/>
      <c r="G701" s="775">
        <f>+H726*0.05</f>
        <v>5926.5400000000009</v>
      </c>
      <c r="H701" s="776"/>
    </row>
    <row r="702" spans="1:8">
      <c r="A702" s="1376" t="s">
        <v>1069</v>
      </c>
      <c r="B702" s="1377"/>
      <c r="C702" s="1378"/>
      <c r="D702" s="772"/>
      <c r="E702" s="773">
        <v>198000</v>
      </c>
      <c r="F702" s="804">
        <f>+F722/1.6</f>
        <v>1.25</v>
      </c>
      <c r="G702" s="775">
        <f>+E702/F702</f>
        <v>158400</v>
      </c>
      <c r="H702" s="776"/>
    </row>
    <row r="703" spans="1:8" ht="24.6" customHeight="1">
      <c r="A703" s="1376"/>
      <c r="B703" s="1377"/>
      <c r="C703" s="1378"/>
      <c r="D703" s="772"/>
      <c r="E703" s="773"/>
      <c r="F703" s="774"/>
      <c r="G703" s="775"/>
      <c r="H703" s="776"/>
    </row>
    <row r="704" spans="1:8" ht="24.6" customHeight="1" thickBot="1">
      <c r="A704" s="1420"/>
      <c r="B704" s="1421"/>
      <c r="C704" s="1422"/>
      <c r="D704" s="781"/>
      <c r="E704" s="782"/>
      <c r="F704" s="783"/>
      <c r="G704" s="784"/>
      <c r="H704" s="785"/>
    </row>
    <row r="705" spans="1:8" ht="13.5" thickBot="1">
      <c r="A705" s="767"/>
      <c r="B705" s="767"/>
      <c r="C705" s="767"/>
      <c r="D705" s="767"/>
      <c r="E705" s="767"/>
      <c r="F705" s="767"/>
      <c r="G705" s="786" t="s">
        <v>86</v>
      </c>
      <c r="H705" s="787">
        <f>SUM(G701:G704)</f>
        <v>164326.54</v>
      </c>
    </row>
    <row r="706" spans="1:8" ht="13.5" thickBot="1">
      <c r="A706" s="766" t="s">
        <v>87</v>
      </c>
      <c r="B706" s="766"/>
      <c r="C706" s="767"/>
      <c r="D706" s="767"/>
      <c r="E706" s="767"/>
      <c r="F706" s="767"/>
      <c r="G706" s="767"/>
      <c r="H706" s="767"/>
    </row>
    <row r="707" spans="1:8">
      <c r="A707" s="1417" t="s">
        <v>80</v>
      </c>
      <c r="B707" s="1418"/>
      <c r="C707" s="1419"/>
      <c r="D707" s="769" t="s">
        <v>88</v>
      </c>
      <c r="E707" s="769" t="s">
        <v>89</v>
      </c>
      <c r="F707" s="769" t="s">
        <v>90</v>
      </c>
      <c r="G707" s="768" t="s">
        <v>84</v>
      </c>
      <c r="H707" s="771"/>
    </row>
    <row r="708" spans="1:8">
      <c r="A708" s="1432" t="s">
        <v>1074</v>
      </c>
      <c r="B708" s="1433"/>
      <c r="C708" s="1434"/>
      <c r="D708" s="788" t="s">
        <v>268</v>
      </c>
      <c r="E708" s="933">
        <v>1201543</v>
      </c>
      <c r="F708" s="790">
        <v>1</v>
      </c>
      <c r="G708" s="940">
        <f>+E708*F708</f>
        <v>1201543</v>
      </c>
      <c r="H708" s="776"/>
    </row>
    <row r="709" spans="1:8" ht="13.15" customHeight="1">
      <c r="A709" s="1432" t="s">
        <v>1073</v>
      </c>
      <c r="B709" s="1433"/>
      <c r="C709" s="1434"/>
      <c r="D709" s="788" t="s">
        <v>268</v>
      </c>
      <c r="E709" s="933">
        <v>89964</v>
      </c>
      <c r="F709" s="790">
        <v>0.5</v>
      </c>
      <c r="G709" s="940">
        <f>+E709*F709</f>
        <v>44982</v>
      </c>
      <c r="H709" s="776"/>
    </row>
    <row r="710" spans="1:8">
      <c r="A710" s="1432" t="s">
        <v>1071</v>
      </c>
      <c r="B710" s="1433"/>
      <c r="C710" s="1434"/>
      <c r="D710" s="788" t="s">
        <v>91</v>
      </c>
      <c r="E710" s="938">
        <f>+APA!$H$46</f>
        <v>616978</v>
      </c>
      <c r="F710" s="790">
        <f>0.015*1.05</f>
        <v>1.575E-2</v>
      </c>
      <c r="G710" s="940">
        <f>+E710*F710</f>
        <v>9717.4035000000003</v>
      </c>
      <c r="H710" s="776"/>
    </row>
    <row r="711" spans="1:8">
      <c r="A711" s="1432"/>
      <c r="B711" s="1433"/>
      <c r="C711" s="1434"/>
      <c r="D711" s="788"/>
      <c r="E711" s="941"/>
      <c r="F711" s="790"/>
      <c r="G711" s="940"/>
      <c r="H711" s="776"/>
    </row>
    <row r="712" spans="1:8" ht="13.5" thickBot="1">
      <c r="A712" s="1425"/>
      <c r="B712" s="1426"/>
      <c r="C712" s="1427"/>
      <c r="D712" s="781"/>
      <c r="E712" s="782"/>
      <c r="F712" s="783"/>
      <c r="G712" s="784"/>
      <c r="H712" s="785"/>
    </row>
    <row r="713" spans="1:8" ht="13.5" thickBot="1">
      <c r="A713" s="767"/>
      <c r="B713" s="767"/>
      <c r="C713" s="767"/>
      <c r="D713" s="767"/>
      <c r="E713" s="767"/>
      <c r="F713" s="767"/>
      <c r="G713" s="786" t="s">
        <v>86</v>
      </c>
      <c r="H713" s="787">
        <f>SUM(G708:G710)</f>
        <v>1256242.4035</v>
      </c>
    </row>
    <row r="714" spans="1:8" ht="13.5" thickBot="1">
      <c r="A714" s="796" t="s">
        <v>94</v>
      </c>
      <c r="B714" s="796"/>
      <c r="C714" s="797"/>
      <c r="D714" s="767"/>
      <c r="E714" s="767"/>
      <c r="F714" s="767"/>
      <c r="G714" s="767"/>
      <c r="H714" s="767"/>
    </row>
    <row r="715" spans="1:8">
      <c r="A715" s="1428" t="s">
        <v>95</v>
      </c>
      <c r="B715" s="1429"/>
      <c r="C715" s="800" t="s">
        <v>88</v>
      </c>
      <c r="D715" s="799" t="s">
        <v>628</v>
      </c>
      <c r="E715" s="799" t="s">
        <v>629</v>
      </c>
      <c r="F715" s="799" t="s">
        <v>630</v>
      </c>
      <c r="G715" s="801" t="s">
        <v>84</v>
      </c>
      <c r="H715" s="771"/>
    </row>
    <row r="716" spans="1:8">
      <c r="A716" s="1430" t="s">
        <v>1068</v>
      </c>
      <c r="B716" s="1431"/>
      <c r="C716" s="802">
        <v>1</v>
      </c>
      <c r="D716" s="803"/>
      <c r="E716" s="804"/>
      <c r="F716" s="805">
        <v>45800</v>
      </c>
      <c r="G716" s="780">
        <f>+F716</f>
        <v>45800</v>
      </c>
      <c r="H716" s="776"/>
    </row>
    <row r="717" spans="1:8">
      <c r="A717" s="1430"/>
      <c r="B717" s="1431"/>
      <c r="C717" s="802"/>
      <c r="D717" s="777"/>
      <c r="E717" s="803"/>
      <c r="F717" s="778"/>
      <c r="G717" s="780"/>
      <c r="H717" s="776"/>
    </row>
    <row r="718" spans="1:8" ht="13.5" thickBot="1">
      <c r="A718" s="1413"/>
      <c r="B718" s="1414"/>
      <c r="C718" s="807"/>
      <c r="D718" s="806"/>
      <c r="E718" s="806"/>
      <c r="F718" s="806"/>
      <c r="G718" s="808"/>
      <c r="H718" s="776"/>
    </row>
    <row r="719" spans="1:8" ht="13.5" thickBot="1">
      <c r="A719" s="767"/>
      <c r="B719" s="767"/>
      <c r="C719" s="767"/>
      <c r="D719" s="767"/>
      <c r="E719" s="767"/>
      <c r="F719" s="767"/>
      <c r="G719" s="786" t="s">
        <v>86</v>
      </c>
      <c r="H719" s="787">
        <f>SUM(G716:G718)</f>
        <v>45800</v>
      </c>
    </row>
    <row r="720" spans="1:8" ht="13.5" thickBot="1">
      <c r="A720" s="796" t="s">
        <v>96</v>
      </c>
      <c r="B720" s="796"/>
      <c r="C720" s="767"/>
      <c r="D720" s="767"/>
      <c r="E720" s="767"/>
      <c r="F720" s="767"/>
      <c r="G720" s="767"/>
      <c r="H720" s="767"/>
    </row>
    <row r="721" spans="1:8">
      <c r="A721" s="798" t="s">
        <v>97</v>
      </c>
      <c r="B721" s="799" t="s">
        <v>90</v>
      </c>
      <c r="C721" s="799" t="s">
        <v>98</v>
      </c>
      <c r="D721" s="799" t="s">
        <v>807</v>
      </c>
      <c r="E721" s="809" t="s">
        <v>808</v>
      </c>
      <c r="F721" s="799" t="s">
        <v>83</v>
      </c>
      <c r="G721" s="801" t="s">
        <v>84</v>
      </c>
      <c r="H721" s="771"/>
    </row>
    <row r="722" spans="1:8">
      <c r="A722" s="478" t="s">
        <v>227</v>
      </c>
      <c r="B722" s="468"/>
      <c r="C722" s="479">
        <f>PERSONAL!$E$31</f>
        <v>48800</v>
      </c>
      <c r="D722" s="480">
        <f>PERSONAL!$F$31</f>
        <v>1.7431000000000001</v>
      </c>
      <c r="E722" s="440">
        <f>+D722*C722</f>
        <v>85063.28</v>
      </c>
      <c r="F722" s="810">
        <v>2</v>
      </c>
      <c r="G722" s="780">
        <f>+E722/F722</f>
        <v>42531.64</v>
      </c>
      <c r="H722" s="776"/>
    </row>
    <row r="723" spans="1:8">
      <c r="A723" s="478" t="s">
        <v>101</v>
      </c>
      <c r="B723" s="467"/>
      <c r="C723" s="479">
        <f>PERSONAL!$E$32</f>
        <v>87200</v>
      </c>
      <c r="D723" s="480">
        <f>PERSONAL!$F$31</f>
        <v>1.7431000000000001</v>
      </c>
      <c r="E723" s="440">
        <f>+D723*C723</f>
        <v>151998.32</v>
      </c>
      <c r="F723" s="810">
        <f>+F722</f>
        <v>2</v>
      </c>
      <c r="G723" s="780">
        <f>+E723/F723</f>
        <v>75999.16</v>
      </c>
      <c r="H723" s="776"/>
    </row>
    <row r="724" spans="1:8">
      <c r="A724" s="1415"/>
      <c r="B724" s="1416"/>
      <c r="C724" s="778"/>
      <c r="D724" s="480"/>
      <c r="E724" s="778"/>
      <c r="F724" s="779"/>
      <c r="G724" s="780"/>
      <c r="H724" s="776"/>
    </row>
    <row r="725" spans="1:8" ht="13.5" thickBot="1">
      <c r="A725" s="1413"/>
      <c r="B725" s="1414"/>
      <c r="C725" s="782"/>
      <c r="D725" s="811"/>
      <c r="E725" s="782"/>
      <c r="F725" s="812"/>
      <c r="G725" s="813"/>
      <c r="H725" s="785"/>
    </row>
    <row r="726" spans="1:8" ht="13.5" thickBot="1">
      <c r="A726" s="767"/>
      <c r="B726" s="767"/>
      <c r="C726" s="767"/>
      <c r="D726" s="767"/>
      <c r="E726" s="767"/>
      <c r="F726" s="767"/>
      <c r="G726" s="786" t="s">
        <v>86</v>
      </c>
      <c r="H726" s="787">
        <f>SUM(G722:G725)</f>
        <v>118530.8</v>
      </c>
    </row>
    <row r="727" spans="1:8" ht="13.5" thickBot="1">
      <c r="A727" s="767"/>
      <c r="B727" s="767"/>
      <c r="C727" s="767"/>
      <c r="D727" s="767"/>
      <c r="E727" s="767"/>
      <c r="F727" s="767"/>
      <c r="G727" s="814"/>
      <c r="H727" s="767"/>
    </row>
    <row r="728" spans="1:8" ht="13.5" thickBot="1">
      <c r="A728" s="767"/>
      <c r="B728" s="767"/>
      <c r="C728" s="767"/>
      <c r="D728" s="767"/>
      <c r="E728" s="815" t="s">
        <v>102</v>
      </c>
      <c r="F728" s="816"/>
      <c r="G728" s="816"/>
      <c r="H728" s="787">
        <f>ROUND(H705+H713+H719+H726,0)</f>
        <v>1584900</v>
      </c>
    </row>
    <row r="729" spans="1:8" ht="15.75" thickBot="1">
      <c r="A729" s="186"/>
    </row>
    <row r="730" spans="1:8" ht="13.15" customHeight="1">
      <c r="A730" s="1348" t="s">
        <v>213</v>
      </c>
      <c r="B730" s="1349"/>
      <c r="C730" s="1350"/>
      <c r="D730" s="448"/>
      <c r="E730" s="448"/>
      <c r="F730" s="448"/>
      <c r="G730" s="448"/>
      <c r="H730" s="449"/>
    </row>
    <row r="731" spans="1:8">
      <c r="A731" s="1351"/>
      <c r="B731" s="1352"/>
      <c r="C731" s="1353"/>
      <c r="D731" s="436"/>
      <c r="E731" s="450" t="s">
        <v>78</v>
      </c>
      <c r="F731" s="436"/>
      <c r="G731" s="436"/>
      <c r="H731" s="451"/>
    </row>
    <row r="732" spans="1:8" ht="13.5" thickBot="1">
      <c r="A732" s="1354"/>
      <c r="B732" s="1355"/>
      <c r="C732" s="1356"/>
      <c r="D732" s="1360"/>
      <c r="E732" s="1361"/>
      <c r="F732" s="1361"/>
      <c r="G732" s="1361"/>
      <c r="H732" s="1362"/>
    </row>
    <row r="733" spans="1:8">
      <c r="A733" s="455"/>
      <c r="B733" s="436"/>
      <c r="C733" s="436"/>
      <c r="D733" s="436"/>
      <c r="E733" s="436"/>
      <c r="F733" s="436"/>
      <c r="G733" s="436"/>
      <c r="H733" s="436"/>
    </row>
    <row r="734" spans="1:8">
      <c r="A734" s="455" t="s">
        <v>547</v>
      </c>
      <c r="B734" s="456"/>
      <c r="C734" s="436"/>
      <c r="E734" s="456"/>
      <c r="G734" s="456" t="s">
        <v>1064</v>
      </c>
      <c r="H734" s="436" t="str">
        <f>+PRESUPUESTO!$A$139</f>
        <v>7.3.11</v>
      </c>
    </row>
    <row r="735" spans="1:8" s="931" customFormat="1" ht="79.900000000000006" customHeight="1">
      <c r="A735" s="928" t="s">
        <v>1065</v>
      </c>
      <c r="B735" s="1375" t="str">
        <f>+VLOOKUP(H734,PRESUPUESTO!$A$135:$F$142,2,FALSE)</f>
        <v>Construcción de mesa con diámetro de 1,60m y 0,20m de espesor y cañuela con un diámetro de 1,20m y 0,20m de espesor para cámara de inspección de diámetro de 1,20 m, la pendiente transversal de la cañuela será el 15% y debe ser en concreto de 28Mpa esmaltada con cemento, según especificaciones técnicas de EEPP de Medellín. Incluye el suministro, transportes externo e interno de los materiales y todo lo necesario para su correcta construcción. No incluye acero de refuerzo.</v>
      </c>
      <c r="C735" s="1375"/>
      <c r="D735" s="1375"/>
      <c r="E735" s="1375"/>
      <c r="F735" s="1375"/>
      <c r="G735" s="929" t="s">
        <v>1066</v>
      </c>
      <c r="H735" s="930" t="str">
        <f>+VLOOKUP(H734,PRESUPUESTO!$A$135:$F$142,3,FALSE)</f>
        <v>un</v>
      </c>
    </row>
    <row r="736" spans="1:8" ht="15">
      <c r="A736" s="186"/>
    </row>
    <row r="737" spans="1:8" ht="13.5" thickBot="1">
      <c r="A737" s="766" t="s">
        <v>79</v>
      </c>
      <c r="B737" s="766"/>
      <c r="C737" s="767"/>
      <c r="D737" s="767"/>
      <c r="E737" s="767"/>
      <c r="F737" s="767"/>
      <c r="G737" s="767"/>
      <c r="H737" s="767"/>
    </row>
    <row r="738" spans="1:8">
      <c r="A738" s="1417" t="s">
        <v>80</v>
      </c>
      <c r="B738" s="1418"/>
      <c r="C738" s="1419"/>
      <c r="D738" s="769" t="s">
        <v>81</v>
      </c>
      <c r="E738" s="770" t="s">
        <v>82</v>
      </c>
      <c r="F738" s="769" t="s">
        <v>83</v>
      </c>
      <c r="G738" s="768" t="s">
        <v>84</v>
      </c>
      <c r="H738" s="771"/>
    </row>
    <row r="739" spans="1:8">
      <c r="A739" s="1376" t="s">
        <v>85</v>
      </c>
      <c r="B739" s="1377"/>
      <c r="C739" s="1378"/>
      <c r="D739" s="772"/>
      <c r="E739" s="773"/>
      <c r="F739" s="774"/>
      <c r="G739" s="775">
        <f>+H764*0.05</f>
        <v>10737.495999999999</v>
      </c>
      <c r="H739" s="776"/>
    </row>
    <row r="740" spans="1:8">
      <c r="A740" s="1376" t="s">
        <v>798</v>
      </c>
      <c r="B740" s="1377"/>
      <c r="C740" s="1378"/>
      <c r="D740" s="777"/>
      <c r="E740" s="778">
        <v>7438</v>
      </c>
      <c r="F740" s="779">
        <f>+F760/3</f>
        <v>0.5</v>
      </c>
      <c r="G740" s="780">
        <f>+E740/F740</f>
        <v>14876</v>
      </c>
      <c r="H740" s="776"/>
    </row>
    <row r="741" spans="1:8">
      <c r="A741" s="1376"/>
      <c r="B741" s="1377"/>
      <c r="C741" s="1378"/>
      <c r="D741" s="772"/>
      <c r="E741" s="773"/>
      <c r="F741" s="774"/>
      <c r="G741" s="775"/>
      <c r="H741" s="776"/>
    </row>
    <row r="742" spans="1:8">
      <c r="A742" s="1376"/>
      <c r="B742" s="1377"/>
      <c r="C742" s="1378"/>
      <c r="D742" s="772"/>
      <c r="E742" s="773"/>
      <c r="F742" s="774"/>
      <c r="G742" s="775"/>
      <c r="H742" s="776"/>
    </row>
    <row r="743" spans="1:8" ht="13.5" thickBot="1">
      <c r="A743" s="1420"/>
      <c r="B743" s="1421"/>
      <c r="C743" s="1422"/>
      <c r="D743" s="781"/>
      <c r="E743" s="782"/>
      <c r="F743" s="783"/>
      <c r="G743" s="784"/>
      <c r="H743" s="785"/>
    </row>
    <row r="744" spans="1:8" ht="13.5" thickBot="1">
      <c r="A744" s="767"/>
      <c r="B744" s="767"/>
      <c r="C744" s="767"/>
      <c r="D744" s="767"/>
      <c r="E744" s="767"/>
      <c r="F744" s="767"/>
      <c r="G744" s="786" t="s">
        <v>86</v>
      </c>
      <c r="H744" s="787">
        <f>SUM(G739:G743)</f>
        <v>25613.495999999999</v>
      </c>
    </row>
    <row r="745" spans="1:8" ht="13.5" thickBot="1">
      <c r="A745" s="766" t="s">
        <v>87</v>
      </c>
      <c r="B745" s="766"/>
      <c r="C745" s="767"/>
      <c r="D745" s="767"/>
      <c r="E745" s="767"/>
      <c r="F745" s="767"/>
      <c r="G745" s="767"/>
      <c r="H745" s="767"/>
    </row>
    <row r="746" spans="1:8">
      <c r="A746" s="1417" t="s">
        <v>80</v>
      </c>
      <c r="B746" s="1418"/>
      <c r="C746" s="1419"/>
      <c r="D746" s="769" t="s">
        <v>88</v>
      </c>
      <c r="E746" s="769" t="s">
        <v>89</v>
      </c>
      <c r="F746" s="769" t="s">
        <v>90</v>
      </c>
      <c r="G746" s="768" t="s">
        <v>84</v>
      </c>
      <c r="H746" s="771"/>
    </row>
    <row r="747" spans="1:8">
      <c r="A747" s="1432" t="s">
        <v>1075</v>
      </c>
      <c r="B747" s="1433"/>
      <c r="C747" s="1434"/>
      <c r="D747" s="788" t="s">
        <v>91</v>
      </c>
      <c r="E747" s="933">
        <f>+APA!H220</f>
        <v>581960.89333333331</v>
      </c>
      <c r="F747" s="790">
        <f>0.4*1.05</f>
        <v>0.42000000000000004</v>
      </c>
      <c r="G747" s="791">
        <f>+E747*F747</f>
        <v>244423.57520000002</v>
      </c>
      <c r="H747" s="776"/>
    </row>
    <row r="748" spans="1:8">
      <c r="A748" s="1432" t="s">
        <v>1076</v>
      </c>
      <c r="B748" s="1433"/>
      <c r="C748" s="1434"/>
      <c r="D748" s="788" t="s">
        <v>91</v>
      </c>
      <c r="E748" s="933">
        <f>+E747</f>
        <v>581960.89333333331</v>
      </c>
      <c r="F748" s="790">
        <f>0.22*1.05</f>
        <v>0.23100000000000001</v>
      </c>
      <c r="G748" s="791">
        <f>+E748*F748</f>
        <v>134432.96635999999</v>
      </c>
      <c r="H748" s="776"/>
    </row>
    <row r="749" spans="1:8">
      <c r="A749" s="1435" t="s">
        <v>1077</v>
      </c>
      <c r="B749" s="1436"/>
      <c r="C749" s="1437"/>
      <c r="D749" s="942" t="s">
        <v>566</v>
      </c>
      <c r="E749" s="943">
        <v>34525</v>
      </c>
      <c r="F749" s="790">
        <v>1</v>
      </c>
      <c r="G749" s="791">
        <f>+E749*F749</f>
        <v>34525</v>
      </c>
      <c r="H749" s="776"/>
    </row>
    <row r="750" spans="1:8" ht="13.5" thickBot="1">
      <c r="A750" s="1425"/>
      <c r="B750" s="1426"/>
      <c r="C750" s="1427"/>
      <c r="D750" s="781"/>
      <c r="E750" s="782"/>
      <c r="F750" s="783"/>
      <c r="G750" s="784"/>
      <c r="H750" s="785"/>
    </row>
    <row r="751" spans="1:8" ht="13.5" thickBot="1">
      <c r="A751" s="767"/>
      <c r="B751" s="767"/>
      <c r="C751" s="767"/>
      <c r="D751" s="767"/>
      <c r="E751" s="767"/>
      <c r="F751" s="767"/>
      <c r="G751" s="786" t="s">
        <v>86</v>
      </c>
      <c r="H751" s="787">
        <f>SUM(G747:G749)</f>
        <v>413381.54156000004</v>
      </c>
    </row>
    <row r="752" spans="1:8" ht="13.5" thickBot="1">
      <c r="A752" s="796" t="s">
        <v>94</v>
      </c>
      <c r="B752" s="796"/>
      <c r="C752" s="797"/>
      <c r="D752" s="767"/>
      <c r="E752" s="767"/>
      <c r="F752" s="767"/>
      <c r="G752" s="767"/>
      <c r="H752" s="767"/>
    </row>
    <row r="753" spans="1:8">
      <c r="A753" s="1428" t="s">
        <v>95</v>
      </c>
      <c r="B753" s="1429"/>
      <c r="C753" s="800" t="s">
        <v>88</v>
      </c>
      <c r="D753" s="799" t="s">
        <v>628</v>
      </c>
      <c r="E753" s="799" t="s">
        <v>629</v>
      </c>
      <c r="F753" s="799" t="s">
        <v>630</v>
      </c>
      <c r="G753" s="801" t="s">
        <v>84</v>
      </c>
      <c r="H753" s="771"/>
    </row>
    <row r="754" spans="1:8">
      <c r="A754" s="1430" t="s">
        <v>1068</v>
      </c>
      <c r="B754" s="1431"/>
      <c r="C754" s="802">
        <v>1</v>
      </c>
      <c r="D754" s="803"/>
      <c r="E754" s="804"/>
      <c r="F754" s="805">
        <v>6500</v>
      </c>
      <c r="G754" s="780">
        <f>+F754</f>
        <v>6500</v>
      </c>
      <c r="H754" s="776"/>
    </row>
    <row r="755" spans="1:8">
      <c r="A755" s="1430" t="s">
        <v>1078</v>
      </c>
      <c r="B755" s="1431"/>
      <c r="C755" s="802">
        <v>1</v>
      </c>
      <c r="D755" s="803"/>
      <c r="E755" s="804"/>
      <c r="F755" s="805">
        <v>6300</v>
      </c>
      <c r="G755" s="780">
        <f>+F755</f>
        <v>6300</v>
      </c>
      <c r="H755" s="776"/>
    </row>
    <row r="756" spans="1:8" ht="13.5" thickBot="1">
      <c r="A756" s="1413"/>
      <c r="B756" s="1414"/>
      <c r="C756" s="807"/>
      <c r="D756" s="806"/>
      <c r="E756" s="806"/>
      <c r="F756" s="806"/>
      <c r="G756" s="808"/>
      <c r="H756" s="776"/>
    </row>
    <row r="757" spans="1:8" ht="13.5" thickBot="1">
      <c r="A757" s="767"/>
      <c r="B757" s="767"/>
      <c r="C757" s="767"/>
      <c r="D757" s="767"/>
      <c r="E757" s="767"/>
      <c r="F757" s="767"/>
      <c r="G757" s="786" t="s">
        <v>86</v>
      </c>
      <c r="H757" s="787">
        <f>SUM(G754:G756)</f>
        <v>12800</v>
      </c>
    </row>
    <row r="758" spans="1:8" ht="13.5" thickBot="1">
      <c r="A758" s="796" t="s">
        <v>96</v>
      </c>
      <c r="B758" s="796"/>
      <c r="C758" s="767"/>
      <c r="D758" s="767"/>
      <c r="E758" s="767"/>
      <c r="F758" s="767"/>
      <c r="G758" s="767"/>
      <c r="H758" s="767"/>
    </row>
    <row r="759" spans="1:8">
      <c r="A759" s="798" t="s">
        <v>97</v>
      </c>
      <c r="B759" s="799" t="s">
        <v>90</v>
      </c>
      <c r="C759" s="799" t="s">
        <v>98</v>
      </c>
      <c r="D759" s="799" t="s">
        <v>807</v>
      </c>
      <c r="E759" s="809" t="s">
        <v>808</v>
      </c>
      <c r="F759" s="799" t="s">
        <v>83</v>
      </c>
      <c r="G759" s="801" t="s">
        <v>84</v>
      </c>
      <c r="H759" s="771"/>
    </row>
    <row r="760" spans="1:8">
      <c r="A760" s="478" t="s">
        <v>227</v>
      </c>
      <c r="B760" s="542">
        <v>2</v>
      </c>
      <c r="C760" s="479">
        <f>PERSONAL!$E$31</f>
        <v>48800</v>
      </c>
      <c r="D760" s="480">
        <f>PERSONAL!$F$31</f>
        <v>1.7431000000000001</v>
      </c>
      <c r="E760" s="440">
        <f>+D760*C760*B760</f>
        <v>170126.56</v>
      </c>
      <c r="F760" s="810">
        <v>1.5</v>
      </c>
      <c r="G760" s="780">
        <f>+E760/F760</f>
        <v>113417.70666666667</v>
      </c>
      <c r="H760" s="776"/>
    </row>
    <row r="761" spans="1:8">
      <c r="A761" s="478" t="s">
        <v>101</v>
      </c>
      <c r="B761" s="467"/>
      <c r="C761" s="479">
        <f>PERSONAL!$E$32</f>
        <v>87200</v>
      </c>
      <c r="D761" s="480">
        <f>PERSONAL!$F$31</f>
        <v>1.7431000000000001</v>
      </c>
      <c r="E761" s="440">
        <f>+D761*C761</f>
        <v>151998.32</v>
      </c>
      <c r="F761" s="810">
        <f>+F760</f>
        <v>1.5</v>
      </c>
      <c r="G761" s="780">
        <f>+E761/F761</f>
        <v>101332.21333333333</v>
      </c>
      <c r="H761" s="776"/>
    </row>
    <row r="762" spans="1:8">
      <c r="A762" s="1415"/>
      <c r="B762" s="1416"/>
      <c r="C762" s="778"/>
      <c r="D762" s="480"/>
      <c r="E762" s="778"/>
      <c r="F762" s="779"/>
      <c r="G762" s="780"/>
      <c r="H762" s="776"/>
    </row>
    <row r="763" spans="1:8" ht="13.5" thickBot="1">
      <c r="A763" s="1413"/>
      <c r="B763" s="1414"/>
      <c r="C763" s="782"/>
      <c r="D763" s="811"/>
      <c r="E763" s="782"/>
      <c r="F763" s="812"/>
      <c r="G763" s="813"/>
      <c r="H763" s="785"/>
    </row>
    <row r="764" spans="1:8" ht="13.5" thickBot="1">
      <c r="A764" s="767"/>
      <c r="B764" s="767"/>
      <c r="C764" s="767"/>
      <c r="D764" s="767"/>
      <c r="E764" s="767"/>
      <c r="F764" s="767"/>
      <c r="G764" s="786" t="s">
        <v>86</v>
      </c>
      <c r="H764" s="787">
        <f>SUM(G760:G763)</f>
        <v>214749.91999999998</v>
      </c>
    </row>
    <row r="765" spans="1:8" ht="13.5" thickBot="1">
      <c r="A765" s="767"/>
      <c r="B765" s="767"/>
      <c r="C765" s="767"/>
      <c r="D765" s="767"/>
      <c r="E765" s="767"/>
      <c r="F765" s="767"/>
      <c r="G765" s="814"/>
      <c r="H765" s="767"/>
    </row>
    <row r="766" spans="1:8" ht="13.5" thickBot="1">
      <c r="A766" s="767"/>
      <c r="B766" s="767"/>
      <c r="C766" s="767"/>
      <c r="D766" s="767"/>
      <c r="E766" s="815" t="s">
        <v>102</v>
      </c>
      <c r="F766" s="816"/>
      <c r="G766" s="816"/>
      <c r="H766" s="787">
        <f>ROUND(H744+H751+H757+H764,0)</f>
        <v>666545</v>
      </c>
    </row>
    <row r="767" spans="1:8" ht="13.5" thickBot="1">
      <c r="A767" s="944"/>
      <c r="B767" s="944"/>
      <c r="C767" s="944"/>
      <c r="D767" s="944"/>
      <c r="E767" s="944"/>
      <c r="F767" s="944"/>
      <c r="G767" s="944"/>
      <c r="H767" s="944"/>
    </row>
    <row r="768" spans="1:8" ht="13.15" customHeight="1">
      <c r="A768" s="1348" t="s">
        <v>213</v>
      </c>
      <c r="B768" s="1349"/>
      <c r="C768" s="1350"/>
      <c r="D768" s="448"/>
      <c r="E768" s="448"/>
      <c r="F768" s="448"/>
      <c r="G768" s="448"/>
      <c r="H768" s="449"/>
    </row>
    <row r="769" spans="1:8">
      <c r="A769" s="1351"/>
      <c r="B769" s="1352"/>
      <c r="C769" s="1353"/>
      <c r="D769" s="436"/>
      <c r="E769" s="450" t="s">
        <v>78</v>
      </c>
      <c r="F769" s="436"/>
      <c r="G769" s="436"/>
      <c r="H769" s="451"/>
    </row>
    <row r="770" spans="1:8" ht="13.5" thickBot="1">
      <c r="A770" s="1354"/>
      <c r="B770" s="1355"/>
      <c r="C770" s="1356"/>
      <c r="D770" s="1360"/>
      <c r="E770" s="1361"/>
      <c r="F770" s="1361"/>
      <c r="G770" s="1361"/>
      <c r="H770" s="1362"/>
    </row>
    <row r="771" spans="1:8">
      <c r="A771" s="455"/>
      <c r="B771" s="436"/>
      <c r="C771" s="436"/>
      <c r="D771" s="436"/>
      <c r="E771" s="436"/>
      <c r="F771" s="436"/>
      <c r="G771" s="436"/>
      <c r="H771" s="436"/>
    </row>
    <row r="772" spans="1:8">
      <c r="A772" s="455" t="s">
        <v>547</v>
      </c>
      <c r="B772" s="456"/>
      <c r="C772" s="436"/>
      <c r="E772" s="456"/>
      <c r="G772" s="456" t="s">
        <v>1064</v>
      </c>
      <c r="H772" s="436" t="str">
        <f>+PRESUPUESTO!$A$140</f>
        <v>7.3.12</v>
      </c>
    </row>
    <row r="773" spans="1:8" s="931" customFormat="1" ht="57" customHeight="1">
      <c r="A773" s="928" t="s">
        <v>1065</v>
      </c>
      <c r="B773" s="1375" t="str">
        <f>+VLOOKUP(H772,PRESUPUESTO!$A$135:$F$142,2,FALSE)</f>
        <v>Perforación de cámara de inspección existente, emboquillada para nueva tubería y resane de 250 mm de diámetro. La reparación será realizada con un mortero de Alta Resistencia Tipo Sikatop 122 o equivalente.</v>
      </c>
      <c r="C773" s="1375"/>
      <c r="D773" s="1375"/>
      <c r="E773" s="1375"/>
      <c r="F773" s="1375"/>
      <c r="G773" s="929" t="s">
        <v>1066</v>
      </c>
      <c r="H773" s="930" t="str">
        <f>+VLOOKUP(H772,PRESUPUESTO!$A$135:$F$142,3,FALSE)</f>
        <v>un</v>
      </c>
    </row>
    <row r="774" spans="1:8" ht="15">
      <c r="A774" s="186"/>
    </row>
    <row r="775" spans="1:8" ht="13.5" thickBot="1">
      <c r="A775" s="766" t="s">
        <v>79</v>
      </c>
      <c r="B775" s="766"/>
      <c r="C775" s="767"/>
      <c r="D775" s="767"/>
      <c r="E775" s="767"/>
      <c r="F775" s="767"/>
      <c r="G775" s="767"/>
      <c r="H775" s="767"/>
    </row>
    <row r="776" spans="1:8">
      <c r="A776" s="1417" t="s">
        <v>80</v>
      </c>
      <c r="B776" s="1418"/>
      <c r="C776" s="1419"/>
      <c r="D776" s="769" t="s">
        <v>81</v>
      </c>
      <c r="E776" s="770" t="s">
        <v>82</v>
      </c>
      <c r="F776" s="769" t="s">
        <v>83</v>
      </c>
      <c r="G776" s="768" t="s">
        <v>84</v>
      </c>
      <c r="H776" s="771"/>
    </row>
    <row r="777" spans="1:8">
      <c r="A777" s="1376" t="s">
        <v>85</v>
      </c>
      <c r="B777" s="1377"/>
      <c r="C777" s="1378"/>
      <c r="D777" s="772"/>
      <c r="E777" s="773"/>
      <c r="F777" s="774"/>
      <c r="G777" s="775">
        <f>+H803*0.05</f>
        <v>8053.1220000000003</v>
      </c>
      <c r="H777" s="776"/>
    </row>
    <row r="778" spans="1:8">
      <c r="A778" s="1438" t="s">
        <v>1079</v>
      </c>
      <c r="B778" s="1439"/>
      <c r="C778" s="1439"/>
      <c r="D778" s="945"/>
      <c r="E778" s="946">
        <v>18010</v>
      </c>
      <c r="F778" s="947">
        <f>F799/8</f>
        <v>0.25</v>
      </c>
      <c r="G778" s="948">
        <f>E778/F778</f>
        <v>72040</v>
      </c>
      <c r="H778" s="776"/>
    </row>
    <row r="779" spans="1:8">
      <c r="A779" s="1438" t="s">
        <v>1080</v>
      </c>
      <c r="B779" s="1439"/>
      <c r="C779" s="1439"/>
      <c r="D779" s="945"/>
      <c r="E779" s="946">
        <v>13200</v>
      </c>
      <c r="F779" s="947">
        <f>+F778</f>
        <v>0.25</v>
      </c>
      <c r="G779" s="948">
        <f>E779/F779</f>
        <v>52800</v>
      </c>
      <c r="H779" s="776"/>
    </row>
    <row r="780" spans="1:8">
      <c r="A780" s="1438" t="s">
        <v>1081</v>
      </c>
      <c r="B780" s="1439"/>
      <c r="C780" s="1439"/>
      <c r="D780" s="945"/>
      <c r="E780" s="946">
        <v>840</v>
      </c>
      <c r="F780" s="947">
        <f>+F779</f>
        <v>0.25</v>
      </c>
      <c r="G780" s="948">
        <f>E780/F780</f>
        <v>3360</v>
      </c>
      <c r="H780" s="776"/>
    </row>
    <row r="781" spans="1:8" ht="13.5" thickBot="1">
      <c r="A781" s="1420"/>
      <c r="B781" s="1421"/>
      <c r="C781" s="1422"/>
      <c r="D781" s="781"/>
      <c r="E781" s="782"/>
      <c r="F781" s="783"/>
      <c r="G781" s="784"/>
      <c r="H781" s="785"/>
    </row>
    <row r="782" spans="1:8" ht="13.5" thickBot="1">
      <c r="A782" s="767"/>
      <c r="B782" s="767"/>
      <c r="C782" s="767"/>
      <c r="D782" s="767"/>
      <c r="E782" s="767"/>
      <c r="F782" s="767"/>
      <c r="G782" s="786" t="s">
        <v>86</v>
      </c>
      <c r="H782" s="787">
        <f>SUM(G777:G781)</f>
        <v>136253.122</v>
      </c>
    </row>
    <row r="783" spans="1:8" ht="13.5" thickBot="1">
      <c r="A783" s="766" t="s">
        <v>87</v>
      </c>
      <c r="B783" s="766"/>
      <c r="C783" s="767"/>
      <c r="D783" s="767"/>
      <c r="E783" s="767"/>
      <c r="F783" s="767"/>
      <c r="G783" s="767"/>
      <c r="H783" s="767"/>
    </row>
    <row r="784" spans="1:8">
      <c r="A784" s="1417" t="s">
        <v>80</v>
      </c>
      <c r="B784" s="1418"/>
      <c r="C784" s="1419"/>
      <c r="D784" s="769" t="s">
        <v>88</v>
      </c>
      <c r="E784" s="769" t="s">
        <v>89</v>
      </c>
      <c r="F784" s="769" t="s">
        <v>90</v>
      </c>
      <c r="G784" s="768" t="s">
        <v>84</v>
      </c>
      <c r="H784" s="771"/>
    </row>
    <row r="785" spans="1:8">
      <c r="A785" s="1432" t="s">
        <v>1082</v>
      </c>
      <c r="B785" s="1433"/>
      <c r="C785" s="1434"/>
      <c r="D785" s="788" t="s">
        <v>266</v>
      </c>
      <c r="E785" s="789">
        <v>18189</v>
      </c>
      <c r="F785" s="790">
        <f>3.36*1.05</f>
        <v>3.528</v>
      </c>
      <c r="G785" s="791">
        <f>+E785*F785</f>
        <v>64170.792000000001</v>
      </c>
      <c r="H785" s="776"/>
    </row>
    <row r="786" spans="1:8">
      <c r="A786" s="1432" t="s">
        <v>1083</v>
      </c>
      <c r="B786" s="1433"/>
      <c r="C786" s="1434"/>
      <c r="D786" s="793" t="s">
        <v>237</v>
      </c>
      <c r="E786" s="794">
        <v>15800</v>
      </c>
      <c r="F786" s="795">
        <f>0.3*1.05</f>
        <v>0.315</v>
      </c>
      <c r="G786" s="791">
        <f>+E786*F786</f>
        <v>4977</v>
      </c>
      <c r="H786" s="776"/>
    </row>
    <row r="787" spans="1:8">
      <c r="A787" s="1432" t="s">
        <v>805</v>
      </c>
      <c r="B787" s="1433"/>
      <c r="C787" s="1434"/>
      <c r="D787" s="793" t="s">
        <v>268</v>
      </c>
      <c r="E787" s="794">
        <v>11300</v>
      </c>
      <c r="F787" s="795">
        <f>+F786</f>
        <v>0.315</v>
      </c>
      <c r="G787" s="791">
        <f>+E787*F787</f>
        <v>3559.5</v>
      </c>
      <c r="H787" s="776"/>
    </row>
    <row r="788" spans="1:8">
      <c r="A788" s="1432" t="s">
        <v>1071</v>
      </c>
      <c r="B788" s="1433"/>
      <c r="C788" s="1434"/>
      <c r="D788" s="788" t="s">
        <v>91</v>
      </c>
      <c r="E788" s="789">
        <f>+APA!H38</f>
        <v>515738.39333333331</v>
      </c>
      <c r="F788" s="790">
        <f>0.06*1.05</f>
        <v>6.3E-2</v>
      </c>
      <c r="G788" s="791">
        <f>+E788*F788</f>
        <v>32491.518779999999</v>
      </c>
      <c r="H788" s="776"/>
    </row>
    <row r="789" spans="1:8" ht="13.5" thickBot="1">
      <c r="A789" s="1425"/>
      <c r="B789" s="1426"/>
      <c r="C789" s="1427"/>
      <c r="D789" s="781"/>
      <c r="E789" s="782"/>
      <c r="F789" s="783"/>
      <c r="G789" s="784"/>
      <c r="H789" s="785"/>
    </row>
    <row r="790" spans="1:8" ht="13.5" thickBot="1">
      <c r="A790" s="767"/>
      <c r="B790" s="767"/>
      <c r="C790" s="767"/>
      <c r="D790" s="767"/>
      <c r="E790" s="767"/>
      <c r="F790" s="767"/>
      <c r="G790" s="786" t="s">
        <v>86</v>
      </c>
      <c r="H790" s="787">
        <f>SUM(G785:G788)</f>
        <v>105198.81078</v>
      </c>
    </row>
    <row r="791" spans="1:8" ht="13.5" thickBot="1">
      <c r="A791" s="796" t="s">
        <v>94</v>
      </c>
      <c r="B791" s="796"/>
      <c r="C791" s="797"/>
      <c r="D791" s="767"/>
      <c r="E791" s="767"/>
      <c r="F791" s="767"/>
      <c r="G791" s="767"/>
      <c r="H791" s="767"/>
    </row>
    <row r="792" spans="1:8">
      <c r="A792" s="1428" t="s">
        <v>95</v>
      </c>
      <c r="B792" s="1429"/>
      <c r="C792" s="800" t="s">
        <v>88</v>
      </c>
      <c r="D792" s="799" t="s">
        <v>628</v>
      </c>
      <c r="E792" s="799" t="s">
        <v>629</v>
      </c>
      <c r="F792" s="799" t="s">
        <v>630</v>
      </c>
      <c r="G792" s="801" t="s">
        <v>84</v>
      </c>
      <c r="H792" s="771"/>
    </row>
    <row r="793" spans="1:8">
      <c r="A793" s="1430" t="s">
        <v>1068</v>
      </c>
      <c r="B793" s="1431"/>
      <c r="C793" s="802">
        <v>1</v>
      </c>
      <c r="D793" s="803"/>
      <c r="E793" s="804"/>
      <c r="F793" s="805">
        <v>6600</v>
      </c>
      <c r="G793" s="780">
        <f>+F793</f>
        <v>6600</v>
      </c>
      <c r="H793" s="776"/>
    </row>
    <row r="794" spans="1:8">
      <c r="A794" s="1430" t="s">
        <v>1078</v>
      </c>
      <c r="B794" s="1431"/>
      <c r="C794" s="802">
        <v>1</v>
      </c>
      <c r="D794" s="803"/>
      <c r="E794" s="804"/>
      <c r="F794" s="805">
        <v>5950</v>
      </c>
      <c r="G794" s="780">
        <f>+F794</f>
        <v>5950</v>
      </c>
      <c r="H794" s="776"/>
    </row>
    <row r="795" spans="1:8" ht="13.5" thickBot="1">
      <c r="A795" s="1413"/>
      <c r="B795" s="1414"/>
      <c r="C795" s="807"/>
      <c r="D795" s="806"/>
      <c r="E795" s="806"/>
      <c r="F795" s="806"/>
      <c r="G795" s="808"/>
      <c r="H795" s="776"/>
    </row>
    <row r="796" spans="1:8" ht="13.5" thickBot="1">
      <c r="A796" s="767"/>
      <c r="B796" s="767"/>
      <c r="C796" s="767"/>
      <c r="D796" s="767"/>
      <c r="E796" s="767"/>
      <c r="F796" s="767"/>
      <c r="G796" s="786" t="s">
        <v>86</v>
      </c>
      <c r="H796" s="787">
        <f>SUM(G793:G795)</f>
        <v>12550</v>
      </c>
    </row>
    <row r="797" spans="1:8" ht="13.5" thickBot="1">
      <c r="A797" s="796" t="s">
        <v>96</v>
      </c>
      <c r="B797" s="796"/>
      <c r="C797" s="767"/>
      <c r="D797" s="767"/>
      <c r="E797" s="767"/>
      <c r="F797" s="767"/>
      <c r="G797" s="767"/>
      <c r="H797" s="767"/>
    </row>
    <row r="798" spans="1:8">
      <c r="A798" s="798" t="s">
        <v>97</v>
      </c>
      <c r="B798" s="799" t="s">
        <v>90</v>
      </c>
      <c r="C798" s="799" t="s">
        <v>98</v>
      </c>
      <c r="D798" s="799" t="s">
        <v>807</v>
      </c>
      <c r="E798" s="809" t="s">
        <v>808</v>
      </c>
      <c r="F798" s="799" t="s">
        <v>83</v>
      </c>
      <c r="G798" s="801" t="s">
        <v>84</v>
      </c>
      <c r="H798" s="771"/>
    </row>
    <row r="799" spans="1:8">
      <c r="A799" s="478" t="s">
        <v>227</v>
      </c>
      <c r="B799" s="542">
        <v>2</v>
      </c>
      <c r="C799" s="479">
        <f>PERSONAL!$E$31</f>
        <v>48800</v>
      </c>
      <c r="D799" s="480">
        <f>PERSONAL!$F$31</f>
        <v>1.7431000000000001</v>
      </c>
      <c r="E799" s="440">
        <f>+D799*C799*B799</f>
        <v>170126.56</v>
      </c>
      <c r="F799" s="810">
        <v>2</v>
      </c>
      <c r="G799" s="780">
        <f>+E799/F799</f>
        <v>85063.28</v>
      </c>
      <c r="H799" s="776"/>
    </row>
    <row r="800" spans="1:8">
      <c r="A800" s="478" t="s">
        <v>101</v>
      </c>
      <c r="B800" s="467"/>
      <c r="C800" s="479">
        <f>PERSONAL!$E$32</f>
        <v>87200</v>
      </c>
      <c r="D800" s="480">
        <f>PERSONAL!$F$31</f>
        <v>1.7431000000000001</v>
      </c>
      <c r="E800" s="440">
        <f>+D800*C800</f>
        <v>151998.32</v>
      </c>
      <c r="F800" s="810">
        <f>+F799</f>
        <v>2</v>
      </c>
      <c r="G800" s="780">
        <f>+E800/F800</f>
        <v>75999.16</v>
      </c>
      <c r="H800" s="776"/>
    </row>
    <row r="801" spans="1:8">
      <c r="A801" s="1415"/>
      <c r="B801" s="1416"/>
      <c r="C801" s="778"/>
      <c r="D801" s="480"/>
      <c r="E801" s="778"/>
      <c r="F801" s="779"/>
      <c r="G801" s="780"/>
      <c r="H801" s="776"/>
    </row>
    <row r="802" spans="1:8" ht="13.5" thickBot="1">
      <c r="A802" s="1413"/>
      <c r="B802" s="1414"/>
      <c r="C802" s="782"/>
      <c r="D802" s="811"/>
      <c r="E802" s="782"/>
      <c r="F802" s="812"/>
      <c r="G802" s="813"/>
      <c r="H802" s="785"/>
    </row>
    <row r="803" spans="1:8" ht="13.5" thickBot="1">
      <c r="A803" s="767"/>
      <c r="B803" s="767"/>
      <c r="C803" s="767"/>
      <c r="D803" s="767"/>
      <c r="E803" s="767"/>
      <c r="F803" s="767"/>
      <c r="G803" s="786" t="s">
        <v>86</v>
      </c>
      <c r="H803" s="787">
        <f>SUM(G799:G802)</f>
        <v>161062.44</v>
      </c>
    </row>
    <row r="804" spans="1:8" ht="13.5" thickBot="1">
      <c r="A804" s="767"/>
      <c r="B804" s="767"/>
      <c r="C804" s="767"/>
      <c r="D804" s="767"/>
      <c r="E804" s="767"/>
      <c r="F804" s="767"/>
      <c r="G804" s="814"/>
      <c r="H804" s="767"/>
    </row>
    <row r="805" spans="1:8" ht="13.5" thickBot="1">
      <c r="A805" s="767"/>
      <c r="B805" s="767"/>
      <c r="C805" s="767"/>
      <c r="D805" s="767"/>
      <c r="E805" s="815" t="s">
        <v>102</v>
      </c>
      <c r="F805" s="816"/>
      <c r="G805" s="816"/>
      <c r="H805" s="787">
        <f>ROUND(H782+H790+H796+H803,0)</f>
        <v>415064</v>
      </c>
    </row>
    <row r="806" spans="1:8" ht="15">
      <c r="A806" s="186"/>
    </row>
    <row r="807" spans="1:8" ht="15.75" thickBot="1">
      <c r="A807" s="186"/>
    </row>
    <row r="808" spans="1:8" ht="13.15" customHeight="1">
      <c r="A808" s="1348" t="s">
        <v>213</v>
      </c>
      <c r="B808" s="1349"/>
      <c r="C808" s="1350"/>
      <c r="D808" s="448"/>
      <c r="E808" s="448"/>
      <c r="F808" s="448"/>
      <c r="G808" s="448"/>
      <c r="H808" s="449"/>
    </row>
    <row r="809" spans="1:8">
      <c r="A809" s="1351"/>
      <c r="B809" s="1352"/>
      <c r="C809" s="1353"/>
      <c r="D809" s="436"/>
      <c r="E809" s="450" t="s">
        <v>78</v>
      </c>
      <c r="F809" s="436"/>
      <c r="G809" s="436"/>
      <c r="H809" s="451"/>
    </row>
    <row r="810" spans="1:8" ht="13.5" thickBot="1">
      <c r="A810" s="1354"/>
      <c r="B810" s="1355"/>
      <c r="C810" s="1356"/>
      <c r="D810" s="1360"/>
      <c r="E810" s="1361"/>
      <c r="F810" s="1361"/>
      <c r="G810" s="1361"/>
      <c r="H810" s="1362"/>
    </row>
    <row r="811" spans="1:8">
      <c r="A811" s="455"/>
      <c r="B811" s="436"/>
      <c r="C811" s="436"/>
      <c r="D811" s="436"/>
      <c r="E811" s="436"/>
      <c r="F811" s="436"/>
      <c r="G811" s="436"/>
      <c r="H811" s="436"/>
    </row>
    <row r="812" spans="1:8">
      <c r="A812" s="455" t="s">
        <v>547</v>
      </c>
      <c r="B812" s="456"/>
      <c r="C812" s="436"/>
      <c r="E812" s="456"/>
      <c r="G812" s="456" t="s">
        <v>1064</v>
      </c>
      <c r="H812" s="436" t="str">
        <f>+PRESUPUESTO!A141</f>
        <v>7.3.13</v>
      </c>
    </row>
    <row r="813" spans="1:8" s="931" customFormat="1" ht="57" customHeight="1">
      <c r="A813" s="928" t="s">
        <v>1065</v>
      </c>
      <c r="B813" s="1375" t="str">
        <f>+VLOOKUP(H812,PRESUPUESTO!$A$135:$F$142,2,FALSE)</f>
        <v>Suministro, transporte y colocación de gancho galvanizado para cámara de inspección de cilindro prefabricado, según especificaciones técnicas de EEPP de Medellín. Incluye anclaje con epóxico y todo lo necesario para su correcta instalación.</v>
      </c>
      <c r="C813" s="1375"/>
      <c r="D813" s="1375"/>
      <c r="E813" s="1375"/>
      <c r="F813" s="1375"/>
      <c r="G813" s="929" t="s">
        <v>1066</v>
      </c>
      <c r="H813" s="930" t="str">
        <f>+VLOOKUP(H812,PRESUPUESTO!$A$135:$F$142,3,FALSE)</f>
        <v>un</v>
      </c>
    </row>
    <row r="814" spans="1:8" ht="15">
      <c r="A814" s="186"/>
    </row>
    <row r="815" spans="1:8" ht="13.5" thickBot="1">
      <c r="A815" s="766" t="s">
        <v>79</v>
      </c>
      <c r="B815" s="766"/>
      <c r="C815" s="767"/>
      <c r="D815" s="767"/>
      <c r="E815" s="767"/>
      <c r="F815" s="767"/>
      <c r="G815" s="767"/>
      <c r="H815" s="767"/>
    </row>
    <row r="816" spans="1:8">
      <c r="A816" s="1417" t="s">
        <v>80</v>
      </c>
      <c r="B816" s="1418"/>
      <c r="C816" s="1419"/>
      <c r="D816" s="769" t="s">
        <v>81</v>
      </c>
      <c r="E816" s="770" t="s">
        <v>82</v>
      </c>
      <c r="F816" s="769" t="s">
        <v>83</v>
      </c>
      <c r="G816" s="768" t="s">
        <v>84</v>
      </c>
      <c r="H816" s="771"/>
    </row>
    <row r="817" spans="1:8">
      <c r="A817" s="1376" t="s">
        <v>85</v>
      </c>
      <c r="B817" s="1377"/>
      <c r="C817" s="1378"/>
      <c r="D817" s="772"/>
      <c r="E817" s="773"/>
      <c r="F817" s="774"/>
      <c r="G817" s="775">
        <f>+H842*0.05</f>
        <v>846.64857142857147</v>
      </c>
      <c r="H817" s="776"/>
    </row>
    <row r="818" spans="1:8">
      <c r="A818" s="1376" t="s">
        <v>694</v>
      </c>
      <c r="B818" s="1377"/>
      <c r="C818" s="1378"/>
      <c r="D818" s="777" t="s">
        <v>1084</v>
      </c>
      <c r="E818" s="778">
        <v>6845</v>
      </c>
      <c r="F818" s="779">
        <f>+F839/8</f>
        <v>1.75</v>
      </c>
      <c r="G818" s="780">
        <f>+E818/F818</f>
        <v>3911.4285714285716</v>
      </c>
      <c r="H818" s="776"/>
    </row>
    <row r="819" spans="1:8">
      <c r="A819" s="1376"/>
      <c r="B819" s="1377"/>
      <c r="C819" s="1378"/>
      <c r="D819" s="772"/>
      <c r="E819" s="773"/>
      <c r="F819" s="774"/>
      <c r="G819" s="775"/>
      <c r="H819" s="776"/>
    </row>
    <row r="820" spans="1:8">
      <c r="A820" s="1376"/>
      <c r="B820" s="1377"/>
      <c r="C820" s="1378"/>
      <c r="D820" s="772"/>
      <c r="E820" s="773"/>
      <c r="F820" s="774"/>
      <c r="G820" s="775"/>
      <c r="H820" s="776"/>
    </row>
    <row r="821" spans="1:8" ht="13.5" thickBot="1">
      <c r="A821" s="1420"/>
      <c r="B821" s="1421"/>
      <c r="C821" s="1422"/>
      <c r="D821" s="781"/>
      <c r="E821" s="782"/>
      <c r="F821" s="783"/>
      <c r="G821" s="784"/>
      <c r="H821" s="785"/>
    </row>
    <row r="822" spans="1:8" ht="13.5" thickBot="1">
      <c r="A822" s="767"/>
      <c r="B822" s="767"/>
      <c r="C822" s="767"/>
      <c r="D822" s="767"/>
      <c r="E822" s="767"/>
      <c r="F822" s="767"/>
      <c r="G822" s="786" t="s">
        <v>86</v>
      </c>
      <c r="H822" s="787">
        <f>SUM(G817:G821)</f>
        <v>4758.0771428571434</v>
      </c>
    </row>
    <row r="823" spans="1:8" ht="13.5" thickBot="1">
      <c r="A823" s="766" t="s">
        <v>87</v>
      </c>
      <c r="B823" s="766"/>
      <c r="C823" s="767"/>
      <c r="D823" s="767"/>
      <c r="E823" s="767"/>
      <c r="F823" s="767"/>
      <c r="G823" s="767"/>
      <c r="H823" s="766"/>
    </row>
    <row r="824" spans="1:8">
      <c r="A824" s="1428" t="s">
        <v>80</v>
      </c>
      <c r="B824" s="1429"/>
      <c r="C824" s="1429"/>
      <c r="D824" s="799" t="s">
        <v>88</v>
      </c>
      <c r="E824" s="799" t="s">
        <v>89</v>
      </c>
      <c r="F824" s="799" t="s">
        <v>90</v>
      </c>
      <c r="G824" s="801" t="s">
        <v>84</v>
      </c>
      <c r="H824" s="949"/>
    </row>
    <row r="825" spans="1:8">
      <c r="A825" s="1423" t="s">
        <v>1085</v>
      </c>
      <c r="B825" s="1424"/>
      <c r="C825" s="1424"/>
      <c r="D825" s="932" t="s">
        <v>268</v>
      </c>
      <c r="E825" s="933">
        <v>28612</v>
      </c>
      <c r="F825" s="934">
        <v>1</v>
      </c>
      <c r="G825" s="935">
        <f>+E825*F825</f>
        <v>28612</v>
      </c>
      <c r="H825" s="950"/>
    </row>
    <row r="826" spans="1:8">
      <c r="A826" s="1440" t="s">
        <v>1086</v>
      </c>
      <c r="B826" s="1441"/>
      <c r="C826" s="1442"/>
      <c r="D826" s="951" t="s">
        <v>268</v>
      </c>
      <c r="E826" s="933">
        <v>150856</v>
      </c>
      <c r="F826" s="790">
        <f>2*0.094*1.05</f>
        <v>0.19740000000000002</v>
      </c>
      <c r="G826" s="791">
        <f>+E826*F826</f>
        <v>29778.974400000003</v>
      </c>
      <c r="H826" s="950"/>
    </row>
    <row r="827" spans="1:8">
      <c r="A827" s="1443"/>
      <c r="B827" s="1444"/>
      <c r="C827" s="1444"/>
      <c r="D827" s="937"/>
      <c r="E827" s="936"/>
      <c r="F827" s="934"/>
      <c r="G827" s="935"/>
      <c r="H827" s="950"/>
    </row>
    <row r="828" spans="1:8" ht="13.5" thickBot="1">
      <c r="A828" s="1425"/>
      <c r="B828" s="1426"/>
      <c r="C828" s="1427"/>
      <c r="D828" s="781"/>
      <c r="E828" s="782"/>
      <c r="F828" s="783"/>
      <c r="G828" s="784"/>
      <c r="H828" s="785"/>
    </row>
    <row r="829" spans="1:8" ht="13.5" thickBot="1">
      <c r="A829" s="767"/>
      <c r="B829" s="767"/>
      <c r="C829" s="767"/>
      <c r="D829" s="767"/>
      <c r="E829" s="767"/>
      <c r="F829" s="767"/>
      <c r="G829" s="786" t="s">
        <v>86</v>
      </c>
      <c r="H829" s="787">
        <f>SUM(G825:G827)</f>
        <v>58390.974400000006</v>
      </c>
    </row>
    <row r="830" spans="1:8" ht="13.5" thickBot="1">
      <c r="A830" s="796" t="s">
        <v>94</v>
      </c>
      <c r="B830" s="796"/>
      <c r="C830" s="797"/>
      <c r="D830" s="767"/>
      <c r="E830" s="767"/>
      <c r="F830" s="767"/>
      <c r="G830" s="767"/>
      <c r="H830" s="767"/>
    </row>
    <row r="831" spans="1:8">
      <c r="A831" s="1428" t="s">
        <v>95</v>
      </c>
      <c r="B831" s="1429"/>
      <c r="C831" s="800" t="s">
        <v>88</v>
      </c>
      <c r="D831" s="799" t="s">
        <v>628</v>
      </c>
      <c r="E831" s="799" t="s">
        <v>629</v>
      </c>
      <c r="F831" s="799" t="s">
        <v>630</v>
      </c>
      <c r="G831" s="801" t="s">
        <v>84</v>
      </c>
      <c r="H831" s="771"/>
    </row>
    <row r="832" spans="1:8">
      <c r="A832" s="1430" t="s">
        <v>1068</v>
      </c>
      <c r="B832" s="1431"/>
      <c r="C832" s="802">
        <v>1</v>
      </c>
      <c r="D832" s="803"/>
      <c r="E832" s="804"/>
      <c r="F832" s="805">
        <v>5800</v>
      </c>
      <c r="G832" s="780">
        <f>+F832</f>
        <v>5800</v>
      </c>
      <c r="H832" s="776"/>
    </row>
    <row r="833" spans="1:8">
      <c r="A833" s="1430"/>
      <c r="B833" s="1431"/>
      <c r="C833" s="802"/>
      <c r="D833" s="803"/>
      <c r="E833" s="804"/>
      <c r="F833" s="805"/>
      <c r="G833" s="780"/>
      <c r="H833" s="776"/>
    </row>
    <row r="834" spans="1:8" ht="13.5" thickBot="1">
      <c r="A834" s="1413"/>
      <c r="B834" s="1414"/>
      <c r="C834" s="807"/>
      <c r="D834" s="806"/>
      <c r="E834" s="806"/>
      <c r="F834" s="806"/>
      <c r="G834" s="808"/>
      <c r="H834" s="776"/>
    </row>
    <row r="835" spans="1:8" ht="13.5" thickBot="1">
      <c r="A835" s="767"/>
      <c r="B835" s="767"/>
      <c r="C835" s="767"/>
      <c r="D835" s="767"/>
      <c r="E835" s="767"/>
      <c r="F835" s="767"/>
      <c r="G835" s="786" t="s">
        <v>86</v>
      </c>
      <c r="H835" s="787">
        <f>SUM(G832:G834)</f>
        <v>5800</v>
      </c>
    </row>
    <row r="836" spans="1:8" ht="13.5" thickBot="1">
      <c r="A836" s="796" t="s">
        <v>96</v>
      </c>
      <c r="B836" s="796"/>
      <c r="C836" s="767"/>
      <c r="D836" s="767"/>
      <c r="E836" s="767"/>
      <c r="F836" s="767"/>
      <c r="G836" s="767"/>
      <c r="H836" s="767"/>
    </row>
    <row r="837" spans="1:8">
      <c r="A837" s="798" t="s">
        <v>97</v>
      </c>
      <c r="B837" s="799" t="s">
        <v>90</v>
      </c>
      <c r="C837" s="799" t="s">
        <v>98</v>
      </c>
      <c r="D837" s="799" t="s">
        <v>807</v>
      </c>
      <c r="E837" s="809" t="s">
        <v>808</v>
      </c>
      <c r="F837" s="799" t="s">
        <v>83</v>
      </c>
      <c r="G837" s="801" t="s">
        <v>84</v>
      </c>
      <c r="H837" s="771"/>
    </row>
    <row r="838" spans="1:8">
      <c r="A838" s="478" t="s">
        <v>227</v>
      </c>
      <c r="B838" s="542">
        <v>1</v>
      </c>
      <c r="C838" s="479">
        <f>PERSONAL!$E$31</f>
        <v>48800</v>
      </c>
      <c r="D838" s="480">
        <f>PERSONAL!$F$31</f>
        <v>1.7431000000000001</v>
      </c>
      <c r="E838" s="440">
        <f>+D838*C838*B838</f>
        <v>85063.28</v>
      </c>
      <c r="F838" s="810">
        <v>14</v>
      </c>
      <c r="G838" s="780">
        <f>+E838/F838</f>
        <v>6075.9485714285711</v>
      </c>
      <c r="H838" s="776"/>
    </row>
    <row r="839" spans="1:8">
      <c r="A839" s="478" t="s">
        <v>101</v>
      </c>
      <c r="B839" s="542">
        <v>1</v>
      </c>
      <c r="C839" s="479">
        <f>PERSONAL!$E$32</f>
        <v>87200</v>
      </c>
      <c r="D839" s="480">
        <f>PERSONAL!$F$31</f>
        <v>1.7431000000000001</v>
      </c>
      <c r="E839" s="440">
        <f>+D839*C839</f>
        <v>151998.32</v>
      </c>
      <c r="F839" s="810">
        <f>+F838</f>
        <v>14</v>
      </c>
      <c r="G839" s="780">
        <f>+E839/F839</f>
        <v>10857.022857142858</v>
      </c>
      <c r="H839" s="776"/>
    </row>
    <row r="840" spans="1:8">
      <c r="A840" s="1415"/>
      <c r="B840" s="1416"/>
      <c r="C840" s="778"/>
      <c r="D840" s="480"/>
      <c r="E840" s="778"/>
      <c r="F840" s="779"/>
      <c r="G840" s="780"/>
      <c r="H840" s="776"/>
    </row>
    <row r="841" spans="1:8" ht="13.5" thickBot="1">
      <c r="A841" s="1413"/>
      <c r="B841" s="1414"/>
      <c r="C841" s="782"/>
      <c r="D841" s="811"/>
      <c r="E841" s="782"/>
      <c r="F841" s="812"/>
      <c r="G841" s="813"/>
      <c r="H841" s="785"/>
    </row>
    <row r="842" spans="1:8" ht="13.5" thickBot="1">
      <c r="A842" s="767"/>
      <c r="B842" s="767"/>
      <c r="C842" s="767"/>
      <c r="D842" s="767"/>
      <c r="E842" s="767"/>
      <c r="F842" s="767"/>
      <c r="G842" s="786" t="s">
        <v>86</v>
      </c>
      <c r="H842" s="787">
        <f>SUM(G838:G841)</f>
        <v>16932.971428571429</v>
      </c>
    </row>
    <row r="843" spans="1:8" ht="13.5" thickBot="1">
      <c r="A843" s="767"/>
      <c r="B843" s="767"/>
      <c r="C843" s="767"/>
      <c r="D843" s="767"/>
      <c r="E843" s="767"/>
      <c r="F843" s="767"/>
      <c r="G843" s="814"/>
      <c r="H843" s="767"/>
    </row>
    <row r="844" spans="1:8" ht="13.5" thickBot="1">
      <c r="A844" s="767"/>
      <c r="B844" s="767"/>
      <c r="C844" s="767"/>
      <c r="D844" s="767"/>
      <c r="E844" s="815" t="s">
        <v>102</v>
      </c>
      <c r="F844" s="816"/>
      <c r="G844" s="816"/>
      <c r="H844" s="787">
        <f>ROUND(H822+H829+H835+H842,0)</f>
        <v>85882</v>
      </c>
    </row>
    <row r="845" spans="1:8" ht="15">
      <c r="A845" s="186"/>
    </row>
    <row r="846" spans="1:8" ht="13.5" thickBot="1"/>
    <row r="847" spans="1:8">
      <c r="A847" s="1348" t="s">
        <v>213</v>
      </c>
      <c r="B847" s="1349"/>
      <c r="C847" s="1350"/>
      <c r="D847" s="448"/>
      <c r="E847" s="448"/>
      <c r="F847" s="448"/>
      <c r="G847" s="448"/>
      <c r="H847" s="449"/>
    </row>
    <row r="848" spans="1:8">
      <c r="A848" s="1351"/>
      <c r="B848" s="1352"/>
      <c r="C848" s="1353"/>
      <c r="D848" s="436"/>
      <c r="E848" s="450" t="s">
        <v>78</v>
      </c>
      <c r="F848" s="436"/>
      <c r="G848" s="436"/>
      <c r="H848" s="451"/>
    </row>
    <row r="849" spans="1:8" ht="13.5" thickBot="1">
      <c r="A849" s="1354"/>
      <c r="B849" s="1355"/>
      <c r="C849" s="1356"/>
      <c r="D849" s="1360"/>
      <c r="E849" s="1361"/>
      <c r="F849" s="1361"/>
      <c r="G849" s="1361"/>
      <c r="H849" s="1362"/>
    </row>
    <row r="850" spans="1:8">
      <c r="A850" s="455"/>
      <c r="B850" s="436"/>
      <c r="C850" s="436"/>
      <c r="D850" s="436"/>
      <c r="E850" s="436"/>
      <c r="F850" s="436"/>
      <c r="G850" s="436"/>
      <c r="H850" s="436"/>
    </row>
    <row r="851" spans="1:8">
      <c r="A851" s="455" t="s">
        <v>547</v>
      </c>
      <c r="B851" s="456"/>
      <c r="C851" s="436"/>
      <c r="E851" s="456"/>
      <c r="G851" s="456" t="s">
        <v>1123</v>
      </c>
      <c r="H851" s="436" t="str">
        <f>+PRESUPUESTO!A142</f>
        <v>7.3.14</v>
      </c>
    </row>
    <row r="852" spans="1:8" s="931" customFormat="1" ht="39.6" customHeight="1">
      <c r="A852" s="928" t="s">
        <v>1122</v>
      </c>
      <c r="B852" s="1375" t="str">
        <f>VLOOKUP(H851,PRESUPUESTO!$A$18:$F$251,2,FALSE)</f>
        <v>Doble Tragante en cañuela d=4". Incluye: Accesorios, un recorrido máximo de tubería no mayor a 2 m, las perforaciones de empalme a la cajas de inspección y las rejillas tipo cúpula d=4".</v>
      </c>
      <c r="C852" s="1375"/>
      <c r="D852" s="1375"/>
      <c r="E852" s="1375"/>
      <c r="F852" s="1375"/>
      <c r="G852" s="929" t="s">
        <v>9</v>
      </c>
      <c r="H852" s="1024" t="str">
        <f>VLOOKUP(H851,PRESUPUESTO!$A$18:$F$251,3,FALSE)</f>
        <v>un</v>
      </c>
    </row>
    <row r="853" spans="1:8">
      <c r="A853" s="456"/>
      <c r="B853" s="456"/>
      <c r="C853" s="436"/>
      <c r="D853" s="456"/>
      <c r="E853" s="456"/>
      <c r="F853" s="456"/>
      <c r="G853" s="456"/>
      <c r="H853" s="436"/>
    </row>
    <row r="854" spans="1:8" ht="13.5" thickBot="1">
      <c r="A854" s="450" t="s">
        <v>79</v>
      </c>
      <c r="B854" s="450"/>
      <c r="C854" s="436"/>
      <c r="D854" s="436"/>
      <c r="E854" s="436"/>
      <c r="F854" s="436"/>
      <c r="G854" s="436"/>
      <c r="H854" s="436"/>
    </row>
    <row r="855" spans="1:8">
      <c r="A855" s="1345" t="s">
        <v>80</v>
      </c>
      <c r="B855" s="1346"/>
      <c r="C855" s="1347"/>
      <c r="D855" s="438" t="s">
        <v>81</v>
      </c>
      <c r="E855" s="438" t="s">
        <v>82</v>
      </c>
      <c r="F855" s="438" t="s">
        <v>83</v>
      </c>
      <c r="G855" s="439" t="s">
        <v>84</v>
      </c>
      <c r="H855" s="457"/>
    </row>
    <row r="856" spans="1:8">
      <c r="A856" s="1357" t="s">
        <v>85</v>
      </c>
      <c r="B856" s="1358"/>
      <c r="C856" s="1359"/>
      <c r="D856" s="459"/>
      <c r="E856" s="440"/>
      <c r="F856" s="440"/>
      <c r="G856" s="432">
        <f>ROUND(H887*0.05,0)</f>
        <v>5927</v>
      </c>
      <c r="H856" s="460"/>
    </row>
    <row r="857" spans="1:8">
      <c r="A857" s="1357" t="s">
        <v>818</v>
      </c>
      <c r="B857" s="1358"/>
      <c r="C857" s="1359"/>
      <c r="D857" s="461" t="s">
        <v>680</v>
      </c>
      <c r="E857" s="462">
        <f>28435*1.19</f>
        <v>33837.65</v>
      </c>
      <c r="F857" s="440">
        <f>+F882*2</f>
        <v>4</v>
      </c>
      <c r="G857" s="432">
        <f>+E857/F857</f>
        <v>8459.4125000000004</v>
      </c>
      <c r="H857" s="460"/>
    </row>
    <row r="858" spans="1:8" ht="13.5" thickBot="1">
      <c r="A858" s="1342"/>
      <c r="B858" s="1343"/>
      <c r="C858" s="1344"/>
      <c r="D858" s="464"/>
      <c r="E858" s="433"/>
      <c r="F858" s="434"/>
      <c r="G858" s="435"/>
      <c r="H858" s="465"/>
    </row>
    <row r="859" spans="1:8" ht="13.5" thickBot="1">
      <c r="A859" s="436"/>
      <c r="B859" s="436"/>
      <c r="C859" s="436"/>
      <c r="D859" s="436"/>
      <c r="E859" s="436"/>
      <c r="F859" s="436"/>
      <c r="G859" s="437" t="s">
        <v>86</v>
      </c>
      <c r="H859" s="466">
        <f>SUM(G856:G858)</f>
        <v>14386.4125</v>
      </c>
    </row>
    <row r="860" spans="1:8" ht="13.5" thickBot="1">
      <c r="A860" s="450" t="s">
        <v>87</v>
      </c>
      <c r="B860" s="450"/>
      <c r="C860" s="436"/>
      <c r="D860" s="436"/>
      <c r="E860" s="436"/>
      <c r="F860" s="436"/>
      <c r="G860" s="436"/>
      <c r="H860" s="436"/>
    </row>
    <row r="861" spans="1:8">
      <c r="A861" s="1345" t="s">
        <v>80</v>
      </c>
      <c r="B861" s="1346"/>
      <c r="C861" s="1347"/>
      <c r="D861" s="438" t="s">
        <v>88</v>
      </c>
      <c r="E861" s="438" t="s">
        <v>89</v>
      </c>
      <c r="F861" s="438" t="s">
        <v>90</v>
      </c>
      <c r="G861" s="439" t="s">
        <v>84</v>
      </c>
      <c r="H861" s="457"/>
    </row>
    <row r="862" spans="1:8">
      <c r="A862" s="458" t="s">
        <v>590</v>
      </c>
      <c r="B862" s="467"/>
      <c r="C862" s="468"/>
      <c r="D862" s="459" t="s">
        <v>545</v>
      </c>
      <c r="E862" s="674">
        <f>176175*1.19</f>
        <v>209648.25</v>
      </c>
      <c r="F862" s="440">
        <f>(1/6)*2*2</f>
        <v>0.66666666666666663</v>
      </c>
      <c r="G862" s="432">
        <f>ROUND(F862*E862,0)</f>
        <v>139766</v>
      </c>
      <c r="H862" s="460"/>
    </row>
    <row r="863" spans="1:8">
      <c r="A863" s="469" t="s">
        <v>684</v>
      </c>
      <c r="B863" s="467"/>
      <c r="C863" s="468"/>
      <c r="D863" s="459" t="s">
        <v>173</v>
      </c>
      <c r="E863" s="674">
        <f>15007*1.19</f>
        <v>17858.329999999998</v>
      </c>
      <c r="F863" s="431">
        <v>2</v>
      </c>
      <c r="G863" s="432">
        <f t="shared" ref="G863:G868" si="10">ROUND(F863*E863,0)</f>
        <v>35717</v>
      </c>
      <c r="H863" s="460"/>
    </row>
    <row r="864" spans="1:8">
      <c r="A864" s="469" t="s">
        <v>816</v>
      </c>
      <c r="B864" s="467"/>
      <c r="C864" s="468"/>
      <c r="D864" s="459" t="s">
        <v>173</v>
      </c>
      <c r="E864" s="674">
        <f>18502*1.19</f>
        <v>22017.379999999997</v>
      </c>
      <c r="F864" s="431">
        <v>2</v>
      </c>
      <c r="G864" s="432">
        <f>ROUND(F864*E864,0)</f>
        <v>44035</v>
      </c>
      <c r="H864" s="460"/>
    </row>
    <row r="865" spans="1:9">
      <c r="A865" s="469" t="s">
        <v>788</v>
      </c>
      <c r="B865" s="467"/>
      <c r="C865" s="468"/>
      <c r="D865" s="459" t="s">
        <v>791</v>
      </c>
      <c r="E865" s="674">
        <f>55389*1.19</f>
        <v>65912.91</v>
      </c>
      <c r="F865" s="431">
        <f>1/10</f>
        <v>0.1</v>
      </c>
      <c r="G865" s="432">
        <f t="shared" si="10"/>
        <v>6591</v>
      </c>
      <c r="H865" s="460"/>
    </row>
    <row r="866" spans="1:9">
      <c r="A866" s="469" t="s">
        <v>789</v>
      </c>
      <c r="B866" s="467"/>
      <c r="C866" s="468"/>
      <c r="D866" s="459" t="s">
        <v>791</v>
      </c>
      <c r="E866" s="674">
        <f>114873*1.19</f>
        <v>136698.87</v>
      </c>
      <c r="F866" s="431">
        <f>+F865/2</f>
        <v>0.05</v>
      </c>
      <c r="G866" s="432">
        <f t="shared" si="10"/>
        <v>6835</v>
      </c>
      <c r="H866" s="460"/>
    </row>
    <row r="867" spans="1:9">
      <c r="A867" s="469" t="s">
        <v>792</v>
      </c>
      <c r="B867" s="467"/>
      <c r="C867" s="468"/>
      <c r="D867" s="459" t="s">
        <v>790</v>
      </c>
      <c r="E867" s="674">
        <v>2719</v>
      </c>
      <c r="F867" s="431">
        <f>1/5</f>
        <v>0.2</v>
      </c>
      <c r="G867" s="432">
        <f>ROUND(F867*E867,0)</f>
        <v>544</v>
      </c>
      <c r="H867" s="460"/>
    </row>
    <row r="868" spans="1:9" ht="15">
      <c r="A868" s="469" t="s">
        <v>817</v>
      </c>
      <c r="B868" s="467"/>
      <c r="C868" s="468"/>
      <c r="D868" s="459" t="s">
        <v>173</v>
      </c>
      <c r="E868" s="674">
        <f>61900</f>
        <v>61900</v>
      </c>
      <c r="F868" s="431">
        <v>2</v>
      </c>
      <c r="G868" s="432">
        <f t="shared" si="10"/>
        <v>123800</v>
      </c>
      <c r="H868" s="460"/>
      <c r="I868" s="818"/>
    </row>
    <row r="869" spans="1:9">
      <c r="A869" s="551"/>
      <c r="B869" s="467"/>
      <c r="C869" s="468"/>
      <c r="D869" s="459"/>
      <c r="E869" s="430"/>
      <c r="F869" s="431"/>
      <c r="G869" s="432">
        <f>ROUND(F869*E869,0)</f>
        <v>0</v>
      </c>
      <c r="H869" s="460"/>
    </row>
    <row r="870" spans="1:9">
      <c r="A870" s="469" t="s">
        <v>93</v>
      </c>
      <c r="B870" s="467"/>
      <c r="C870" s="471">
        <v>0.05</v>
      </c>
      <c r="D870" s="459"/>
      <c r="E870" s="430"/>
      <c r="F870" s="431"/>
      <c r="G870" s="432">
        <f>SUM(G861:G869)*C870</f>
        <v>17864.400000000001</v>
      </c>
      <c r="H870" s="460"/>
    </row>
    <row r="871" spans="1:9">
      <c r="A871" s="469"/>
      <c r="B871" s="467"/>
      <c r="C871" s="468"/>
      <c r="D871" s="459"/>
      <c r="E871" s="430"/>
      <c r="F871" s="431"/>
      <c r="G871" s="432"/>
      <c r="H871" s="460"/>
    </row>
    <row r="872" spans="1:9">
      <c r="A872" s="469"/>
      <c r="B872" s="467"/>
      <c r="C872" s="468"/>
      <c r="D872" s="459"/>
      <c r="E872" s="430"/>
      <c r="F872" s="431"/>
      <c r="G872" s="432"/>
      <c r="H872" s="460"/>
    </row>
    <row r="873" spans="1:9" ht="13.5" thickBot="1">
      <c r="A873" s="472"/>
      <c r="B873" s="473"/>
      <c r="C873" s="474"/>
      <c r="D873" s="464"/>
      <c r="E873" s="433"/>
      <c r="F873" s="434"/>
      <c r="G873" s="435"/>
      <c r="H873" s="465"/>
    </row>
    <row r="874" spans="1:9" ht="13.5" thickBot="1">
      <c r="A874" s="436"/>
      <c r="B874" s="436"/>
      <c r="C874" s="436"/>
      <c r="D874" s="436"/>
      <c r="E874" s="436"/>
      <c r="F874" s="436"/>
      <c r="G874" s="437" t="s">
        <v>86</v>
      </c>
      <c r="H874" s="466">
        <f>SUM(G862:G873)</f>
        <v>375152.4</v>
      </c>
    </row>
    <row r="875" spans="1:9" ht="13.5" thickBot="1">
      <c r="A875" s="450" t="s">
        <v>94</v>
      </c>
      <c r="B875" s="450"/>
      <c r="C875" s="436"/>
      <c r="D875" s="436"/>
      <c r="E875" s="436"/>
      <c r="F875" s="436"/>
      <c r="G875" s="436"/>
      <c r="H875" s="436"/>
    </row>
    <row r="876" spans="1:9">
      <c r="A876" s="1345" t="s">
        <v>95</v>
      </c>
      <c r="B876" s="1346"/>
      <c r="C876" s="1347"/>
      <c r="D876" s="438" t="s">
        <v>88</v>
      </c>
      <c r="E876" s="438" t="s">
        <v>89</v>
      </c>
      <c r="F876" s="438" t="s">
        <v>90</v>
      </c>
      <c r="G876" s="439" t="s">
        <v>84</v>
      </c>
      <c r="H876" s="457"/>
    </row>
    <row r="877" spans="1:9" customFormat="1" ht="15">
      <c r="A877" s="458" t="s">
        <v>235</v>
      </c>
      <c r="B877" s="467"/>
      <c r="C877" s="468"/>
      <c r="D877" s="459"/>
      <c r="E877" s="674">
        <v>14500</v>
      </c>
      <c r="F877" s="440">
        <f>1/2</f>
        <v>0.5</v>
      </c>
      <c r="G877" s="432">
        <f>E877*F877</f>
        <v>7250</v>
      </c>
      <c r="H877" s="460"/>
    </row>
    <row r="878" spans="1:9" customFormat="1" ht="15.75" thickBot="1">
      <c r="A878" s="1342" t="s">
        <v>673</v>
      </c>
      <c r="B878" s="1343"/>
      <c r="C878" s="1344"/>
      <c r="D878" s="475" t="s">
        <v>674</v>
      </c>
      <c r="E878" s="433">
        <v>165000</v>
      </c>
      <c r="F878" s="434">
        <f>1/10</f>
        <v>0.1</v>
      </c>
      <c r="G878" s="441">
        <f>+E878*F878</f>
        <v>16500</v>
      </c>
      <c r="H878" s="460"/>
    </row>
    <row r="879" spans="1:9" ht="13.5" thickBot="1">
      <c r="A879" s="436"/>
      <c r="B879" s="436"/>
      <c r="C879" s="436"/>
      <c r="D879" s="436"/>
      <c r="E879" s="436"/>
      <c r="F879" s="436"/>
      <c r="G879" s="437" t="s">
        <v>86</v>
      </c>
      <c r="H879" s="466">
        <f>SUM(G877:G878)</f>
        <v>23750</v>
      </c>
    </row>
    <row r="880" spans="1:9" ht="13.5" thickBot="1">
      <c r="A880" s="450" t="s">
        <v>96</v>
      </c>
      <c r="B880" s="450"/>
      <c r="C880" s="436"/>
      <c r="D880" s="436"/>
      <c r="E880" s="436"/>
      <c r="F880" s="436"/>
      <c r="G880" s="436"/>
      <c r="H880" s="436"/>
    </row>
    <row r="881" spans="1:8">
      <c r="A881" s="476" t="s">
        <v>97</v>
      </c>
      <c r="B881" s="438"/>
      <c r="C881" s="438" t="s">
        <v>98</v>
      </c>
      <c r="D881" s="438" t="s">
        <v>99</v>
      </c>
      <c r="E881" s="442" t="s">
        <v>100</v>
      </c>
      <c r="F881" s="443" t="s">
        <v>83</v>
      </c>
      <c r="G881" s="444" t="s">
        <v>84</v>
      </c>
      <c r="H881" s="477"/>
    </row>
    <row r="882" spans="1:8">
      <c r="A882" s="478" t="s">
        <v>227</v>
      </c>
      <c r="B882" s="468"/>
      <c r="C882" s="479">
        <f>PERSONAL!$E$31</f>
        <v>48800</v>
      </c>
      <c r="D882" s="480">
        <f>PERSONAL!$F$31</f>
        <v>1.7431000000000001</v>
      </c>
      <c r="E882" s="440">
        <f>+D882*C882</f>
        <v>85063.28</v>
      </c>
      <c r="F882" s="440">
        <v>2</v>
      </c>
      <c r="G882" s="445">
        <f>ROUND(E882/F882,0)</f>
        <v>42532</v>
      </c>
      <c r="H882" s="451"/>
    </row>
    <row r="883" spans="1:8">
      <c r="A883" s="478" t="s">
        <v>101</v>
      </c>
      <c r="B883" s="467"/>
      <c r="C883" s="479">
        <f>PERSONAL!$E$32</f>
        <v>87200</v>
      </c>
      <c r="D883" s="480">
        <f>PERSONAL!$F$31</f>
        <v>1.7431000000000001</v>
      </c>
      <c r="E883" s="440">
        <f>+D883*C883</f>
        <v>151998.32</v>
      </c>
      <c r="F883" s="440">
        <f>+F882</f>
        <v>2</v>
      </c>
      <c r="G883" s="445">
        <f>ROUND(E883/F883,0)</f>
        <v>75999</v>
      </c>
      <c r="H883" s="451"/>
    </row>
    <row r="884" spans="1:8">
      <c r="A884" s="478"/>
      <c r="B884" s="468"/>
      <c r="C884" s="430"/>
      <c r="D884" s="459"/>
      <c r="E884" s="430"/>
      <c r="F884" s="440"/>
      <c r="G884" s="445"/>
      <c r="H884" s="451"/>
    </row>
    <row r="885" spans="1:8">
      <c r="A885" s="478"/>
      <c r="B885" s="468"/>
      <c r="C885" s="430"/>
      <c r="D885" s="459"/>
      <c r="E885" s="430"/>
      <c r="F885" s="440"/>
      <c r="G885" s="445"/>
      <c r="H885" s="451"/>
    </row>
    <row r="886" spans="1:8" ht="13.5" thickBot="1">
      <c r="A886" s="481"/>
      <c r="B886" s="474"/>
      <c r="C886" s="474"/>
      <c r="D886" s="474"/>
      <c r="E886" s="474"/>
      <c r="F886" s="474"/>
      <c r="G886" s="482"/>
      <c r="H886" s="482"/>
    </row>
    <row r="887" spans="1:8" ht="13.5" thickBot="1">
      <c r="A887" s="436"/>
      <c r="B887" s="436"/>
      <c r="C887" s="436"/>
      <c r="D887" s="436"/>
      <c r="E887" s="436"/>
      <c r="F887" s="436"/>
      <c r="G887" s="437" t="s">
        <v>86</v>
      </c>
      <c r="H887" s="466">
        <f>SUM(G882:G886)</f>
        <v>118531</v>
      </c>
    </row>
    <row r="888" spans="1:8" ht="13.5" thickBot="1">
      <c r="A888" s="436"/>
      <c r="B888" s="436"/>
      <c r="C888" s="436"/>
      <c r="D888" s="436"/>
      <c r="E888" s="436"/>
      <c r="F888" s="436"/>
      <c r="G888" s="483"/>
      <c r="H888" s="436"/>
    </row>
    <row r="889" spans="1:8" ht="13.5" thickBot="1">
      <c r="A889" s="436"/>
      <c r="B889" s="436"/>
      <c r="C889" s="436"/>
      <c r="D889" s="436"/>
      <c r="E889" s="484" t="s">
        <v>102</v>
      </c>
      <c r="F889" s="485"/>
      <c r="G889" s="485"/>
      <c r="H889" s="466">
        <f>H859+H874+H879+H887</f>
        <v>531819.8125</v>
      </c>
    </row>
    <row r="890" spans="1:8" ht="13.5" thickBot="1">
      <c r="A890" s="450" t="s">
        <v>103</v>
      </c>
      <c r="B890" s="450"/>
      <c r="C890" s="436"/>
      <c r="D890" s="436"/>
      <c r="E890" s="436"/>
      <c r="F890" s="436"/>
      <c r="G890" s="436"/>
      <c r="H890" s="436"/>
    </row>
    <row r="891" spans="1:8">
      <c r="A891" s="487" t="s">
        <v>80</v>
      </c>
      <c r="B891" s="488"/>
      <c r="C891" s="488"/>
      <c r="D891" s="488"/>
      <c r="E891" s="489"/>
      <c r="F891" s="490" t="s">
        <v>104</v>
      </c>
      <c r="G891" s="491" t="s">
        <v>105</v>
      </c>
      <c r="H891" s="457"/>
    </row>
    <row r="892" spans="1:8">
      <c r="A892" s="469" t="s">
        <v>106</v>
      </c>
      <c r="B892" s="467"/>
      <c r="C892" s="467"/>
      <c r="D892" s="467"/>
      <c r="E892" s="468"/>
      <c r="F892" s="492">
        <f>PRESUPUESTO!$E$222</f>
        <v>0.109</v>
      </c>
      <c r="G892" s="493">
        <f>+F892*H889</f>
        <v>57968.359562500002</v>
      </c>
      <c r="H892" s="550"/>
    </row>
    <row r="893" spans="1:8">
      <c r="A893" s="469" t="s">
        <v>107</v>
      </c>
      <c r="B893" s="467"/>
      <c r="C893" s="467"/>
      <c r="D893" s="467"/>
      <c r="E893" s="468"/>
      <c r="F893" s="492">
        <f>PRESUPUESTO!$E$223</f>
        <v>0.05</v>
      </c>
      <c r="G893" s="493">
        <f>+F893*H889</f>
        <v>26590.990625000002</v>
      </c>
      <c r="H893" s="550"/>
    </row>
    <row r="894" spans="1:8" ht="13.5" thickBot="1">
      <c r="A894" s="472" t="s">
        <v>108</v>
      </c>
      <c r="B894" s="473"/>
      <c r="C894" s="473"/>
      <c r="D894" s="473"/>
      <c r="E894" s="474"/>
      <c r="F894" s="494">
        <v>0</v>
      </c>
      <c r="G894" s="495">
        <f>+F894*H889</f>
        <v>0</v>
      </c>
      <c r="H894" s="465"/>
    </row>
    <row r="895" spans="1:8" ht="13.5" thickBot="1">
      <c r="A895" s="436"/>
      <c r="B895" s="436"/>
      <c r="C895" s="436"/>
      <c r="D895" s="436"/>
      <c r="E895" s="436"/>
      <c r="F895" s="436"/>
      <c r="G895" s="437" t="s">
        <v>86</v>
      </c>
      <c r="H895" s="496">
        <f>SUM(G892:G894)</f>
        <v>84559.350187500007</v>
      </c>
    </row>
    <row r="896" spans="1:8" ht="13.5" thickBot="1">
      <c r="A896" s="436"/>
      <c r="B896" s="436"/>
      <c r="C896" s="436"/>
      <c r="D896" s="436"/>
      <c r="E896" s="436"/>
      <c r="F896" s="436"/>
      <c r="G896" s="436"/>
      <c r="H896" s="436"/>
    </row>
    <row r="897" spans="3:8" ht="13.5" thickBot="1">
      <c r="C897" s="436"/>
      <c r="D897" s="484" t="s">
        <v>109</v>
      </c>
      <c r="E897" s="485"/>
      <c r="F897" s="485"/>
      <c r="G897" s="485"/>
      <c r="H897" s="466">
        <f>ROUND((H889+H895),0)</f>
        <v>616379</v>
      </c>
    </row>
  </sheetData>
  <mergeCells count="290">
    <mergeCell ref="B852:F852"/>
    <mergeCell ref="A547:C547"/>
    <mergeCell ref="A548:C548"/>
    <mergeCell ref="A549:C549"/>
    <mergeCell ref="A550:C550"/>
    <mergeCell ref="A551:C551"/>
    <mergeCell ref="A552:C552"/>
    <mergeCell ref="A553:C553"/>
    <mergeCell ref="A554:C554"/>
    <mergeCell ref="A557:B557"/>
    <mergeCell ref="A558:B558"/>
    <mergeCell ref="A559:B559"/>
    <mergeCell ref="A560:B560"/>
    <mergeCell ref="A566:B566"/>
    <mergeCell ref="A834:B834"/>
    <mergeCell ref="A840:B840"/>
    <mergeCell ref="A841:B841"/>
    <mergeCell ref="A827:C827"/>
    <mergeCell ref="A828:C828"/>
    <mergeCell ref="A831:B831"/>
    <mergeCell ref="A832:B832"/>
    <mergeCell ref="A833:B833"/>
    <mergeCell ref="A820:C820"/>
    <mergeCell ref="A821:C821"/>
    <mergeCell ref="A824:C824"/>
    <mergeCell ref="A825:C825"/>
    <mergeCell ref="A826:C826"/>
    <mergeCell ref="B813:F813"/>
    <mergeCell ref="A816:C816"/>
    <mergeCell ref="A817:C817"/>
    <mergeCell ref="A818:C818"/>
    <mergeCell ref="A819:C819"/>
    <mergeCell ref="A795:B795"/>
    <mergeCell ref="A801:B801"/>
    <mergeCell ref="A802:B802"/>
    <mergeCell ref="A808:C810"/>
    <mergeCell ref="D810:H810"/>
    <mergeCell ref="A788:C788"/>
    <mergeCell ref="A789:C789"/>
    <mergeCell ref="A792:B792"/>
    <mergeCell ref="A793:B793"/>
    <mergeCell ref="A794:B794"/>
    <mergeCell ref="A781:C781"/>
    <mergeCell ref="A784:C784"/>
    <mergeCell ref="A785:C785"/>
    <mergeCell ref="A786:C786"/>
    <mergeCell ref="A787:C787"/>
    <mergeCell ref="A776:C776"/>
    <mergeCell ref="A777:C777"/>
    <mergeCell ref="A778:C778"/>
    <mergeCell ref="A779:C779"/>
    <mergeCell ref="A780:C780"/>
    <mergeCell ref="A762:B762"/>
    <mergeCell ref="A763:B763"/>
    <mergeCell ref="A768:C770"/>
    <mergeCell ref="D770:H770"/>
    <mergeCell ref="B773:F773"/>
    <mergeCell ref="A750:C750"/>
    <mergeCell ref="A753:B753"/>
    <mergeCell ref="A754:B754"/>
    <mergeCell ref="A755:B755"/>
    <mergeCell ref="A756:B756"/>
    <mergeCell ref="A743:C743"/>
    <mergeCell ref="A746:C746"/>
    <mergeCell ref="A747:C747"/>
    <mergeCell ref="A748:C748"/>
    <mergeCell ref="A749:C749"/>
    <mergeCell ref="A738:C738"/>
    <mergeCell ref="A739:C739"/>
    <mergeCell ref="A740:C740"/>
    <mergeCell ref="A741:C741"/>
    <mergeCell ref="A742:C742"/>
    <mergeCell ref="A730:C732"/>
    <mergeCell ref="D732:H732"/>
    <mergeCell ref="B735:F735"/>
    <mergeCell ref="A707:C707"/>
    <mergeCell ref="A715:B715"/>
    <mergeCell ref="A724:B724"/>
    <mergeCell ref="A717:B717"/>
    <mergeCell ref="A718:B718"/>
    <mergeCell ref="A725:B725"/>
    <mergeCell ref="A710:C710"/>
    <mergeCell ref="A711:C711"/>
    <mergeCell ref="A712:C712"/>
    <mergeCell ref="A716:B716"/>
    <mergeCell ref="A703:C703"/>
    <mergeCell ref="A704:C704"/>
    <mergeCell ref="A708:C708"/>
    <mergeCell ref="A709:C709"/>
    <mergeCell ref="D694:H694"/>
    <mergeCell ref="B697:F697"/>
    <mergeCell ref="A700:C700"/>
    <mergeCell ref="A701:C701"/>
    <mergeCell ref="A702:C702"/>
    <mergeCell ref="A679:B679"/>
    <mergeCell ref="A680:B680"/>
    <mergeCell ref="A686:B686"/>
    <mergeCell ref="A687:B687"/>
    <mergeCell ref="A692:C694"/>
    <mergeCell ref="A672:C672"/>
    <mergeCell ref="A673:C673"/>
    <mergeCell ref="A674:C674"/>
    <mergeCell ref="A677:B677"/>
    <mergeCell ref="A678:B678"/>
    <mergeCell ref="A665:C665"/>
    <mergeCell ref="A666:C666"/>
    <mergeCell ref="A667:C667"/>
    <mergeCell ref="A670:C670"/>
    <mergeCell ref="A671:C671"/>
    <mergeCell ref="A655:C657"/>
    <mergeCell ref="D657:H657"/>
    <mergeCell ref="B660:F660"/>
    <mergeCell ref="A663:C663"/>
    <mergeCell ref="A664:C664"/>
    <mergeCell ref="A612:B612"/>
    <mergeCell ref="A619:C621"/>
    <mergeCell ref="D621:H621"/>
    <mergeCell ref="A641:B641"/>
    <mergeCell ref="A642:B642"/>
    <mergeCell ref="A643:B643"/>
    <mergeCell ref="A649:B649"/>
    <mergeCell ref="A650:B650"/>
    <mergeCell ref="A634:C634"/>
    <mergeCell ref="A635:C635"/>
    <mergeCell ref="A636:C636"/>
    <mergeCell ref="A637:C637"/>
    <mergeCell ref="A640:B640"/>
    <mergeCell ref="D337:H337"/>
    <mergeCell ref="A343:C343"/>
    <mergeCell ref="A287:C289"/>
    <mergeCell ref="D289:H289"/>
    <mergeCell ref="A295:C295"/>
    <mergeCell ref="A296:C296"/>
    <mergeCell ref="A297:C297"/>
    <mergeCell ref="A298:C298"/>
    <mergeCell ref="A360:C360"/>
    <mergeCell ref="A301:C301"/>
    <mergeCell ref="A310:C310"/>
    <mergeCell ref="A312:C312"/>
    <mergeCell ref="A335:C337"/>
    <mergeCell ref="A344:C344"/>
    <mergeCell ref="A345:C345"/>
    <mergeCell ref="A346:C346"/>
    <mergeCell ref="A349:C349"/>
    <mergeCell ref="A358:C358"/>
    <mergeCell ref="B340:F340"/>
    <mergeCell ref="B292:F292"/>
    <mergeCell ref="A581:C583"/>
    <mergeCell ref="A590:C590"/>
    <mergeCell ref="D433:H433"/>
    <mergeCell ref="A439:C439"/>
    <mergeCell ref="A383:C385"/>
    <mergeCell ref="D385:H385"/>
    <mergeCell ref="A391:C391"/>
    <mergeCell ref="A392:C392"/>
    <mergeCell ref="A393:C393"/>
    <mergeCell ref="A394:C394"/>
    <mergeCell ref="A460:C460"/>
    <mergeCell ref="A397:C397"/>
    <mergeCell ref="A406:C406"/>
    <mergeCell ref="A408:C408"/>
    <mergeCell ref="A431:C433"/>
    <mergeCell ref="A440:C440"/>
    <mergeCell ref="A441:C441"/>
    <mergeCell ref="A442:C442"/>
    <mergeCell ref="A445:C445"/>
    <mergeCell ref="A458:C458"/>
    <mergeCell ref="B388:F388"/>
    <mergeCell ref="B436:F436"/>
    <mergeCell ref="A878:C878"/>
    <mergeCell ref="A847:C849"/>
    <mergeCell ref="D849:H849"/>
    <mergeCell ref="A855:C855"/>
    <mergeCell ref="A856:C856"/>
    <mergeCell ref="A857:C857"/>
    <mergeCell ref="A858:C858"/>
    <mergeCell ref="A861:C861"/>
    <mergeCell ref="A592:C592"/>
    <mergeCell ref="A627:C627"/>
    <mergeCell ref="A876:C876"/>
    <mergeCell ref="A628:C628"/>
    <mergeCell ref="A629:C629"/>
    <mergeCell ref="A630:C630"/>
    <mergeCell ref="A631:C631"/>
    <mergeCell ref="B624:F624"/>
    <mergeCell ref="A593:C593"/>
    <mergeCell ref="A596:C596"/>
    <mergeCell ref="A597:C597"/>
    <mergeCell ref="A598:C598"/>
    <mergeCell ref="A599:C599"/>
    <mergeCell ref="A602:B602"/>
    <mergeCell ref="A603:B603"/>
    <mergeCell ref="A604:B604"/>
    <mergeCell ref="A605:B605"/>
    <mergeCell ref="A611:B611"/>
    <mergeCell ref="A481:C483"/>
    <mergeCell ref="D483:H483"/>
    <mergeCell ref="B486:F486"/>
    <mergeCell ref="A489:C489"/>
    <mergeCell ref="A490:C490"/>
    <mergeCell ref="A491:C491"/>
    <mergeCell ref="A492:C492"/>
    <mergeCell ref="A495:C495"/>
    <mergeCell ref="A508:C508"/>
    <mergeCell ref="A510:C510"/>
    <mergeCell ref="D534:H534"/>
    <mergeCell ref="A540:C540"/>
    <mergeCell ref="A541:C541"/>
    <mergeCell ref="A542:C542"/>
    <mergeCell ref="A591:C591"/>
    <mergeCell ref="A546:C546"/>
    <mergeCell ref="A543:C543"/>
    <mergeCell ref="A532:C534"/>
    <mergeCell ref="B586:F586"/>
    <mergeCell ref="B537:F537"/>
    <mergeCell ref="D583:H583"/>
    <mergeCell ref="A589:C589"/>
    <mergeCell ref="A2:C4"/>
    <mergeCell ref="D4:H4"/>
    <mergeCell ref="B7:F7"/>
    <mergeCell ref="A10:C10"/>
    <mergeCell ref="A11:C11"/>
    <mergeCell ref="A12:C12"/>
    <mergeCell ref="A13:C13"/>
    <mergeCell ref="A16:C16"/>
    <mergeCell ref="A25:C25"/>
    <mergeCell ref="A27:C27"/>
    <mergeCell ref="A79:C81"/>
    <mergeCell ref="D81:H81"/>
    <mergeCell ref="B84:F84"/>
    <mergeCell ref="A87:C87"/>
    <mergeCell ref="A88:C88"/>
    <mergeCell ref="A89:C89"/>
    <mergeCell ref="A90:C90"/>
    <mergeCell ref="A93:C93"/>
    <mergeCell ref="A102:C102"/>
    <mergeCell ref="A104:C104"/>
    <mergeCell ref="A118:C120"/>
    <mergeCell ref="D120:H120"/>
    <mergeCell ref="B123:F123"/>
    <mergeCell ref="A126:C126"/>
    <mergeCell ref="A127:C127"/>
    <mergeCell ref="A128:C128"/>
    <mergeCell ref="A129:C129"/>
    <mergeCell ref="D198:H198"/>
    <mergeCell ref="B201:F201"/>
    <mergeCell ref="A132:C132"/>
    <mergeCell ref="A141:C141"/>
    <mergeCell ref="A143:C143"/>
    <mergeCell ref="A142:C142"/>
    <mergeCell ref="A157:C159"/>
    <mergeCell ref="D159:H159"/>
    <mergeCell ref="B162:F162"/>
    <mergeCell ref="A165:C165"/>
    <mergeCell ref="A166:C166"/>
    <mergeCell ref="A219:C219"/>
    <mergeCell ref="A220:C220"/>
    <mergeCell ref="A221:C221"/>
    <mergeCell ref="A235:C237"/>
    <mergeCell ref="A167:C167"/>
    <mergeCell ref="A168:C168"/>
    <mergeCell ref="A171:C171"/>
    <mergeCell ref="A180:C180"/>
    <mergeCell ref="A181:C181"/>
    <mergeCell ref="A182:C182"/>
    <mergeCell ref="A196:C198"/>
    <mergeCell ref="A260:C260"/>
    <mergeCell ref="A40:C42"/>
    <mergeCell ref="D42:H42"/>
    <mergeCell ref="B45:F45"/>
    <mergeCell ref="A48:C48"/>
    <mergeCell ref="A49:C49"/>
    <mergeCell ref="A50:C50"/>
    <mergeCell ref="A51:C51"/>
    <mergeCell ref="A54:C54"/>
    <mergeCell ref="A63:C63"/>
    <mergeCell ref="A65:C65"/>
    <mergeCell ref="D237:H237"/>
    <mergeCell ref="B240:F240"/>
    <mergeCell ref="A243:C243"/>
    <mergeCell ref="A244:C244"/>
    <mergeCell ref="A245:C245"/>
    <mergeCell ref="A246:C246"/>
    <mergeCell ref="A249:C249"/>
    <mergeCell ref="A258:C258"/>
    <mergeCell ref="A204:C204"/>
    <mergeCell ref="A205:C205"/>
    <mergeCell ref="A206:C206"/>
    <mergeCell ref="A207:C207"/>
    <mergeCell ref="A210:C210"/>
  </mergeCells>
  <hyperlinks>
    <hyperlink ref="A333" r:id="rId1" location="PRESUPUESTO!A110" xr:uid="{BE85EDBB-5DF1-48DA-8631-FBF059D6132F}"/>
    <hyperlink ref="A381" r:id="rId2" location="PRESUPUESTO!A111" xr:uid="{45472D8A-8B66-4477-ABC5-679FC81BE91E}"/>
    <hyperlink ref="A429" r:id="rId3" location="PRESUPUESTO!A112" xr:uid="{8E319DFF-85E5-4C1F-9ACF-D4B3AA06D505}"/>
    <hyperlink ref="A530" r:id="rId4" location="PRESUPUESTO!A113" xr:uid="{3C9DF08A-13AB-4704-9C18-1BC0F2D4C8B2}"/>
    <hyperlink ref="A579" r:id="rId5" location="PRESUPUESTO!A112" xr:uid="{6281229F-7364-47D9-8E23-1602FB7A5D69}"/>
    <hyperlink ref="A617" r:id="rId6" location="PRESUPUESTO!A113" xr:uid="{89AA461D-D745-4262-A5F3-AC1CAB602999}"/>
  </hyperlinks>
  <printOptions horizontalCentered="1" verticalCentered="1"/>
  <pageMargins left="1.1811023622047245" right="0.39370078740157483" top="0.19685039370078741" bottom="1.1811023622047245" header="0" footer="0"/>
  <pageSetup scale="95" orientation="portrait" r:id="rId7"/>
  <headerFooter alignWithMargins="0"/>
  <rowBreaks count="7" manualBreakCount="7">
    <brk id="77" max="7" man="1"/>
    <brk id="332" max="16383" man="1"/>
    <brk id="380" max="7" man="1"/>
    <brk id="428" max="7" man="1"/>
    <brk id="529" max="7" man="1"/>
    <brk id="578" max="7" man="1"/>
    <brk id="616"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288"/>
  <sheetViews>
    <sheetView view="pageBreakPreview" topLeftCell="A238" zoomScale="115" zoomScaleNormal="100" zoomScaleSheetLayoutView="115" workbookViewId="0">
      <selection activeCell="I175" sqref="I175"/>
    </sheetView>
  </sheetViews>
  <sheetFormatPr baseColWidth="10" defaultRowHeight="15"/>
  <cols>
    <col min="1" max="1" width="11.42578125" style="446"/>
    <col min="2" max="2" width="10.42578125" style="446" customWidth="1"/>
    <col min="3" max="3" width="13" style="446" customWidth="1"/>
    <col min="4" max="8" width="11.42578125" style="446"/>
    <col min="11" max="11" width="13" bestFit="1" customWidth="1"/>
    <col min="12" max="12" width="16.7109375" bestFit="1" customWidth="1"/>
    <col min="13" max="13" width="15.5703125" bestFit="1" customWidth="1"/>
    <col min="14" max="14" width="16.7109375" bestFit="1" customWidth="1"/>
  </cols>
  <sheetData>
    <row r="1" spans="1:8">
      <c r="A1" s="186" t="s">
        <v>77</v>
      </c>
    </row>
    <row r="2" spans="1:8" ht="15.75" thickBot="1"/>
    <row r="3" spans="1:8">
      <c r="A3" s="1348" t="s">
        <v>213</v>
      </c>
      <c r="B3" s="1349"/>
      <c r="C3" s="1350"/>
      <c r="D3" s="448"/>
      <c r="E3" s="448"/>
      <c r="F3" s="448"/>
      <c r="G3" s="448"/>
      <c r="H3" s="449"/>
    </row>
    <row r="4" spans="1:8">
      <c r="A4" s="1351"/>
      <c r="B4" s="1352"/>
      <c r="C4" s="1353"/>
      <c r="D4" s="436"/>
      <c r="E4" s="450" t="s">
        <v>78</v>
      </c>
      <c r="F4" s="436"/>
      <c r="G4" s="436"/>
      <c r="H4" s="451"/>
    </row>
    <row r="5" spans="1:8" ht="15.75" thickBot="1">
      <c r="A5" s="1354"/>
      <c r="B5" s="1355"/>
      <c r="C5" s="1356"/>
      <c r="D5" s="1360"/>
      <c r="E5" s="1361"/>
      <c r="F5" s="1361"/>
      <c r="G5" s="1361"/>
      <c r="H5" s="1362"/>
    </row>
    <row r="6" spans="1:8">
      <c r="A6" s="455"/>
      <c r="B6" s="436"/>
      <c r="C6" s="436"/>
      <c r="D6" s="436"/>
      <c r="E6" s="436"/>
      <c r="F6" s="436"/>
      <c r="G6" s="436"/>
      <c r="H6" s="436"/>
    </row>
    <row r="7" spans="1:8" s="446" customFormat="1" ht="12.75">
      <c r="A7" s="455" t="s">
        <v>1228</v>
      </c>
      <c r="B7" s="456" t="str">
        <f>+PRESUPUESTO!$B$145</f>
        <v>CUBIERTA Y CIELOS FALSOS</v>
      </c>
      <c r="C7" s="436"/>
      <c r="E7" s="456"/>
      <c r="G7" s="456" t="s">
        <v>1123</v>
      </c>
      <c r="H7" s="436" t="str">
        <f>+PRESUPUESTO!$A$147</f>
        <v>8.1.1</v>
      </c>
    </row>
    <row r="8" spans="1:8" s="931" customFormat="1" ht="82.15" customHeight="1">
      <c r="A8" s="928" t="s">
        <v>1122</v>
      </c>
      <c r="B8" s="1375" t="str">
        <f>VLOOKUP(H7,PRESUPUESTO!$A$18:$F$251,2,FALSE)</f>
        <v>Suministro e instalación de estructura metalica según diseño estructural acabada con pintura electrostatica, negro mate. Para locales comerciales.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
      <c r="C8" s="1375"/>
      <c r="D8" s="1375"/>
      <c r="E8" s="1375"/>
      <c r="F8" s="1375"/>
      <c r="G8" s="929" t="s">
        <v>9</v>
      </c>
      <c r="H8" s="1024" t="str">
        <f>VLOOKUP(H7,PRESUPUESTO!$A$18:$F$251,3,FALSE)</f>
        <v>kg</v>
      </c>
    </row>
    <row r="9" spans="1:8">
      <c r="A9" s="456"/>
      <c r="B9" s="456"/>
      <c r="C9" s="436"/>
      <c r="D9" s="456"/>
      <c r="E9" s="456"/>
      <c r="F9" s="456"/>
      <c r="G9" s="456"/>
      <c r="H9" s="436"/>
    </row>
    <row r="10" spans="1:8" ht="15.75" thickBot="1">
      <c r="A10" s="450" t="s">
        <v>79</v>
      </c>
      <c r="B10" s="450"/>
      <c r="C10" s="436"/>
      <c r="D10" s="436"/>
      <c r="E10" s="436"/>
      <c r="F10" s="436"/>
      <c r="G10" s="436"/>
      <c r="H10" s="436"/>
    </row>
    <row r="11" spans="1:8">
      <c r="A11" s="1345" t="s">
        <v>80</v>
      </c>
      <c r="B11" s="1346"/>
      <c r="C11" s="1347"/>
      <c r="D11" s="438" t="s">
        <v>81</v>
      </c>
      <c r="E11" s="438" t="s">
        <v>82</v>
      </c>
      <c r="F11" s="438" t="s">
        <v>83</v>
      </c>
      <c r="G11" s="439" t="s">
        <v>84</v>
      </c>
      <c r="H11" s="457"/>
    </row>
    <row r="12" spans="1:8">
      <c r="A12" s="1357" t="s">
        <v>85</v>
      </c>
      <c r="B12" s="1358"/>
      <c r="C12" s="1359"/>
      <c r="D12" s="459"/>
      <c r="E12" s="440"/>
      <c r="F12" s="440"/>
      <c r="G12" s="432">
        <f>ROUND(H37*0.05,0)</f>
        <v>125</v>
      </c>
      <c r="H12" s="460"/>
    </row>
    <row r="13" spans="1:8">
      <c r="A13" s="1357" t="s">
        <v>215</v>
      </c>
      <c r="B13" s="1358"/>
      <c r="C13" s="1359"/>
      <c r="D13" s="461" t="s">
        <v>237</v>
      </c>
      <c r="E13" s="462">
        <v>13000</v>
      </c>
      <c r="F13" s="440">
        <v>0.3</v>
      </c>
      <c r="G13" s="432">
        <f>E13*F13</f>
        <v>3900</v>
      </c>
      <c r="H13" s="460"/>
    </row>
    <row r="14" spans="1:8" ht="15.75" thickBot="1">
      <c r="A14" s="1342"/>
      <c r="B14" s="1343"/>
      <c r="C14" s="1344"/>
      <c r="D14" s="464"/>
      <c r="E14" s="433"/>
      <c r="F14" s="434"/>
      <c r="G14" s="441"/>
      <c r="H14" s="465"/>
    </row>
    <row r="15" spans="1:8" ht="15.75" thickBot="1">
      <c r="A15" s="436"/>
      <c r="B15" s="436"/>
      <c r="C15" s="436"/>
      <c r="D15" s="436"/>
      <c r="E15" s="436"/>
      <c r="F15" s="436"/>
      <c r="G15" s="437" t="s">
        <v>86</v>
      </c>
      <c r="H15" s="466">
        <f>SUM(G12:G14)</f>
        <v>4025</v>
      </c>
    </row>
    <row r="16" spans="1:8" ht="15.75" thickBot="1">
      <c r="A16" s="450" t="s">
        <v>87</v>
      </c>
      <c r="B16" s="450"/>
      <c r="C16" s="436"/>
      <c r="D16" s="436"/>
      <c r="E16" s="436"/>
      <c r="F16" s="436"/>
      <c r="G16" s="436"/>
      <c r="H16" s="436"/>
    </row>
    <row r="17" spans="1:8">
      <c r="A17" s="1345" t="s">
        <v>80</v>
      </c>
      <c r="B17" s="1346"/>
      <c r="C17" s="1347"/>
      <c r="D17" s="438" t="s">
        <v>88</v>
      </c>
      <c r="E17" s="438" t="s">
        <v>89</v>
      </c>
      <c r="F17" s="438" t="s">
        <v>90</v>
      </c>
      <c r="G17" s="439" t="s">
        <v>84</v>
      </c>
      <c r="H17" s="457"/>
    </row>
    <row r="18" spans="1:8">
      <c r="A18" s="458" t="s">
        <v>542</v>
      </c>
      <c r="B18" s="467"/>
      <c r="C18" s="468"/>
      <c r="D18" s="459" t="s">
        <v>266</v>
      </c>
      <c r="E18" s="674">
        <v>13200</v>
      </c>
      <c r="F18" s="440">
        <v>1</v>
      </c>
      <c r="G18" s="432">
        <f>E18*F18</f>
        <v>13200</v>
      </c>
      <c r="H18" s="460"/>
    </row>
    <row r="19" spans="1:8">
      <c r="A19" s="469"/>
      <c r="B19" s="467"/>
      <c r="C19" s="468"/>
      <c r="D19" s="459"/>
      <c r="E19" s="430"/>
      <c r="F19" s="431"/>
      <c r="G19" s="432"/>
      <c r="H19" s="460"/>
    </row>
    <row r="20" spans="1:8">
      <c r="A20" s="469" t="s">
        <v>93</v>
      </c>
      <c r="B20" s="467"/>
      <c r="C20" s="471">
        <v>0</v>
      </c>
      <c r="D20" s="459"/>
      <c r="E20" s="430"/>
      <c r="F20" s="431"/>
      <c r="G20" s="432">
        <f>SUM(G17:G19)*C20</f>
        <v>0</v>
      </c>
      <c r="H20" s="460"/>
    </row>
    <row r="21" spans="1:8">
      <c r="A21" s="469"/>
      <c r="B21" s="467"/>
      <c r="C21" s="468"/>
      <c r="D21" s="459"/>
      <c r="E21" s="430"/>
      <c r="F21" s="431"/>
      <c r="G21" s="432"/>
      <c r="H21" s="460"/>
    </row>
    <row r="22" spans="1:8">
      <c r="A22" s="469"/>
      <c r="B22" s="467"/>
      <c r="C22" s="468"/>
      <c r="D22" s="459"/>
      <c r="E22" s="430"/>
      <c r="F22" s="431"/>
      <c r="G22" s="432"/>
      <c r="H22" s="460"/>
    </row>
    <row r="23" spans="1:8" ht="15.75" thickBot="1">
      <c r="A23" s="472"/>
      <c r="B23" s="473"/>
      <c r="C23" s="474"/>
      <c r="D23" s="464"/>
      <c r="E23" s="433"/>
      <c r="F23" s="434"/>
      <c r="G23" s="435"/>
      <c r="H23" s="465"/>
    </row>
    <row r="24" spans="1:8" ht="15.75" thickBot="1">
      <c r="A24" s="436"/>
      <c r="B24" s="436"/>
      <c r="C24" s="436"/>
      <c r="D24" s="436"/>
      <c r="E24" s="436"/>
      <c r="F24" s="436"/>
      <c r="G24" s="437" t="s">
        <v>86</v>
      </c>
      <c r="H24" s="466">
        <f>SUM(G18:G23)</f>
        <v>13200</v>
      </c>
    </row>
    <row r="25" spans="1:8" ht="15.75" thickBot="1">
      <c r="A25" s="450" t="s">
        <v>94</v>
      </c>
      <c r="B25" s="450"/>
      <c r="C25" s="436"/>
      <c r="D25" s="436"/>
      <c r="E25" s="436"/>
      <c r="F25" s="436"/>
      <c r="G25" s="436"/>
      <c r="H25" s="436"/>
    </row>
    <row r="26" spans="1:8">
      <c r="A26" s="1345" t="s">
        <v>95</v>
      </c>
      <c r="B26" s="1346"/>
      <c r="C26" s="1347"/>
      <c r="D26" s="438" t="s">
        <v>88</v>
      </c>
      <c r="E26" s="438" t="s">
        <v>89</v>
      </c>
      <c r="F26" s="438" t="s">
        <v>90</v>
      </c>
      <c r="G26" s="439" t="s">
        <v>84</v>
      </c>
      <c r="H26" s="457"/>
    </row>
    <row r="27" spans="1:8">
      <c r="A27" s="458"/>
      <c r="B27" s="467"/>
      <c r="C27" s="468"/>
      <c r="D27" s="459">
        <v>1</v>
      </c>
      <c r="E27" s="430">
        <v>200</v>
      </c>
      <c r="F27" s="440">
        <v>1</v>
      </c>
      <c r="G27" s="440">
        <f>+F27*E27</f>
        <v>200</v>
      </c>
      <c r="H27" s="460"/>
    </row>
    <row r="28" spans="1:8" ht="15.75" thickBot="1">
      <c r="A28" s="1342"/>
      <c r="B28" s="1343"/>
      <c r="C28" s="1344"/>
      <c r="D28" s="475"/>
      <c r="E28" s="433"/>
      <c r="F28" s="434"/>
      <c r="G28" s="441"/>
      <c r="H28" s="460"/>
    </row>
    <row r="29" spans="1:8" ht="15.75" thickBot="1">
      <c r="A29" s="436"/>
      <c r="B29" s="436"/>
      <c r="C29" s="436"/>
      <c r="D29" s="436"/>
      <c r="E29" s="436"/>
      <c r="F29" s="436"/>
      <c r="G29" s="437" t="s">
        <v>86</v>
      </c>
      <c r="H29" s="466">
        <f>SUM(G27:G28)</f>
        <v>200</v>
      </c>
    </row>
    <row r="30" spans="1:8" ht="15.75" thickBot="1">
      <c r="A30" s="450" t="s">
        <v>96</v>
      </c>
      <c r="B30" s="450"/>
      <c r="C30" s="436"/>
      <c r="D30" s="436"/>
      <c r="E30" s="436"/>
      <c r="F30" s="436"/>
      <c r="G30" s="436"/>
      <c r="H30" s="436"/>
    </row>
    <row r="31" spans="1:8">
      <c r="A31" s="476" t="s">
        <v>97</v>
      </c>
      <c r="B31" s="438"/>
      <c r="C31" s="438" t="s">
        <v>98</v>
      </c>
      <c r="D31" s="438" t="s">
        <v>99</v>
      </c>
      <c r="E31" s="442" t="s">
        <v>100</v>
      </c>
      <c r="F31" s="443" t="s">
        <v>83</v>
      </c>
      <c r="G31" s="444" t="s">
        <v>84</v>
      </c>
      <c r="H31" s="477"/>
    </row>
    <row r="32" spans="1:8">
      <c r="A32" s="478"/>
      <c r="B32" s="468"/>
      <c r="C32" s="479"/>
      <c r="D32" s="480"/>
      <c r="E32" s="440"/>
      <c r="F32" s="440"/>
      <c r="G32" s="445">
        <v>2500</v>
      </c>
      <c r="H32" s="451"/>
    </row>
    <row r="33" spans="1:8">
      <c r="A33" s="478"/>
      <c r="B33" s="467"/>
      <c r="C33" s="479"/>
      <c r="D33" s="480"/>
      <c r="E33" s="440"/>
      <c r="F33" s="440"/>
      <c r="G33" s="445"/>
      <c r="H33" s="451"/>
    </row>
    <row r="34" spans="1:8">
      <c r="A34" s="478"/>
      <c r="B34" s="468"/>
      <c r="C34" s="430"/>
      <c r="D34" s="459"/>
      <c r="E34" s="430"/>
      <c r="F34" s="440"/>
      <c r="G34" s="445"/>
      <c r="H34" s="451"/>
    </row>
    <row r="35" spans="1:8">
      <c r="A35" s="478"/>
      <c r="B35" s="468"/>
      <c r="C35" s="430"/>
      <c r="D35" s="459"/>
      <c r="E35" s="430"/>
      <c r="F35" s="440"/>
      <c r="G35" s="445"/>
      <c r="H35" s="451"/>
    </row>
    <row r="36" spans="1:8" ht="15.75" thickBot="1">
      <c r="A36" s="481"/>
      <c r="B36" s="474"/>
      <c r="C36" s="474"/>
      <c r="D36" s="474"/>
      <c r="E36" s="474"/>
      <c r="F36" s="474"/>
      <c r="G36" s="482"/>
      <c r="H36" s="482"/>
    </row>
    <row r="37" spans="1:8" ht="15.75" thickBot="1">
      <c r="A37" s="436"/>
      <c r="B37" s="436"/>
      <c r="C37" s="436"/>
      <c r="D37" s="436"/>
      <c r="E37" s="436"/>
      <c r="F37" s="436"/>
      <c r="G37" s="437" t="s">
        <v>86</v>
      </c>
      <c r="H37" s="466">
        <f>SUM(G32:G36)</f>
        <v>2500</v>
      </c>
    </row>
    <row r="38" spans="1:8" ht="15.75" thickBot="1">
      <c r="A38" s="436"/>
      <c r="B38" s="436"/>
      <c r="C38" s="436"/>
      <c r="D38" s="436"/>
      <c r="E38" s="436"/>
      <c r="F38" s="436"/>
      <c r="G38" s="483"/>
      <c r="H38" s="436"/>
    </row>
    <row r="39" spans="1:8" ht="15.75" thickBot="1">
      <c r="A39" s="436"/>
      <c r="B39" s="436"/>
      <c r="C39" s="436"/>
      <c r="D39" s="436"/>
      <c r="E39" s="484" t="s">
        <v>102</v>
      </c>
      <c r="F39" s="485"/>
      <c r="G39" s="485"/>
      <c r="H39" s="466">
        <f>H15+H24+H29+H37</f>
        <v>19925</v>
      </c>
    </row>
    <row r="40" spans="1:8" ht="15.75" thickBot="1">
      <c r="A40" s="450" t="s">
        <v>103</v>
      </c>
      <c r="B40" s="450"/>
      <c r="C40" s="436"/>
      <c r="D40" s="436"/>
      <c r="E40" s="436"/>
      <c r="F40" s="436"/>
      <c r="G40" s="436"/>
      <c r="H40" s="436"/>
    </row>
    <row r="41" spans="1:8">
      <c r="A41" s="487" t="s">
        <v>80</v>
      </c>
      <c r="B41" s="488"/>
      <c r="C41" s="488"/>
      <c r="D41" s="488"/>
      <c r="E41" s="489"/>
      <c r="F41" s="490" t="s">
        <v>104</v>
      </c>
      <c r="G41" s="491" t="s">
        <v>105</v>
      </c>
      <c r="H41" s="457"/>
    </row>
    <row r="42" spans="1:8">
      <c r="A42" s="469" t="s">
        <v>106</v>
      </c>
      <c r="B42" s="467"/>
      <c r="C42" s="467"/>
      <c r="D42" s="467"/>
      <c r="E42" s="468"/>
      <c r="F42" s="492">
        <f>PRESUPUESTO!$E$222</f>
        <v>0.109</v>
      </c>
      <c r="G42" s="493">
        <f>+F42*H39</f>
        <v>2171.8249999999998</v>
      </c>
      <c r="H42" s="460"/>
    </row>
    <row r="43" spans="1:8">
      <c r="A43" s="469" t="s">
        <v>107</v>
      </c>
      <c r="B43" s="467"/>
      <c r="C43" s="467"/>
      <c r="D43" s="467"/>
      <c r="E43" s="468"/>
      <c r="F43" s="492">
        <f>PRESUPUESTO!$E$223</f>
        <v>0.05</v>
      </c>
      <c r="G43" s="493">
        <f>+F43*H39</f>
        <v>996.25</v>
      </c>
      <c r="H43" s="460"/>
    </row>
    <row r="44" spans="1:8" ht="15.75" thickBot="1">
      <c r="A44" s="472" t="s">
        <v>108</v>
      </c>
      <c r="B44" s="473"/>
      <c r="C44" s="473"/>
      <c r="D44" s="473"/>
      <c r="E44" s="474"/>
      <c r="F44" s="494">
        <v>0</v>
      </c>
      <c r="G44" s="495">
        <f>+F44*H39</f>
        <v>0</v>
      </c>
      <c r="H44" s="465"/>
    </row>
    <row r="45" spans="1:8" ht="15.75" thickBot="1">
      <c r="A45" s="436"/>
      <c r="B45" s="436"/>
      <c r="C45" s="436"/>
      <c r="D45" s="436"/>
      <c r="E45" s="436"/>
      <c r="F45" s="436"/>
      <c r="G45" s="437" t="s">
        <v>86</v>
      </c>
      <c r="H45" s="496">
        <f>SUM(G42:G44)</f>
        <v>3168.0749999999998</v>
      </c>
    </row>
    <row r="46" spans="1:8" ht="15.75" thickBot="1">
      <c r="A46" s="436"/>
      <c r="B46" s="436"/>
      <c r="C46" s="436"/>
      <c r="D46" s="436"/>
      <c r="E46" s="436"/>
      <c r="F46" s="436"/>
      <c r="G46" s="436"/>
      <c r="H46" s="436"/>
    </row>
    <row r="47" spans="1:8" ht="15.75" thickBot="1">
      <c r="C47" s="436"/>
      <c r="D47" s="484" t="s">
        <v>109</v>
      </c>
      <c r="E47" s="485"/>
      <c r="F47" s="485"/>
      <c r="G47" s="485"/>
      <c r="H47" s="466">
        <f>ROUND((H39+H45),0)</f>
        <v>23093</v>
      </c>
    </row>
    <row r="49" spans="1:8">
      <c r="A49" s="186" t="s">
        <v>77</v>
      </c>
    </row>
    <row r="50" spans="1:8" ht="15.75" thickBot="1"/>
    <row r="51" spans="1:8">
      <c r="A51" s="1348" t="s">
        <v>213</v>
      </c>
      <c r="B51" s="1349"/>
      <c r="C51" s="1350"/>
      <c r="D51" s="448"/>
      <c r="E51" s="448"/>
      <c r="F51" s="448"/>
      <c r="G51" s="448"/>
      <c r="H51" s="449"/>
    </row>
    <row r="52" spans="1:8">
      <c r="A52" s="1351"/>
      <c r="B52" s="1352"/>
      <c r="C52" s="1353"/>
      <c r="D52" s="436"/>
      <c r="E52" s="450" t="s">
        <v>78</v>
      </c>
      <c r="F52" s="436"/>
      <c r="G52" s="436"/>
      <c r="H52" s="451"/>
    </row>
    <row r="53" spans="1:8" ht="15.75" thickBot="1">
      <c r="A53" s="1354"/>
      <c r="B53" s="1355"/>
      <c r="C53" s="1356"/>
      <c r="D53" s="1360"/>
      <c r="E53" s="1361"/>
      <c r="F53" s="1361"/>
      <c r="G53" s="1361"/>
      <c r="H53" s="1362"/>
    </row>
    <row r="54" spans="1:8">
      <c r="A54" s="455"/>
      <c r="B54" s="436"/>
      <c r="C54" s="436"/>
      <c r="D54" s="436"/>
      <c r="E54" s="436"/>
      <c r="F54" s="436"/>
      <c r="G54" s="436"/>
      <c r="H54" s="436"/>
    </row>
    <row r="55" spans="1:8" s="446" customFormat="1" ht="12.75">
      <c r="A55" s="455" t="s">
        <v>1228</v>
      </c>
      <c r="B55" s="456" t="str">
        <f>+PRESUPUESTO!$B$145</f>
        <v>CUBIERTA Y CIELOS FALSOS</v>
      </c>
      <c r="C55" s="436"/>
      <c r="E55" s="456"/>
      <c r="G55" s="456" t="s">
        <v>1123</v>
      </c>
      <c r="H55" s="436" t="str">
        <f>+PRESUPUESTO!$A$148</f>
        <v>8.1.2</v>
      </c>
    </row>
    <row r="56" spans="1:8" s="931" customFormat="1" ht="82.15" customHeight="1">
      <c r="A56" s="928" t="s">
        <v>1122</v>
      </c>
      <c r="B56" s="1375" t="str">
        <f>VLOOKUP(H55,PRESUPUESTO!$A$18:$F$251,2,FALSE)</f>
        <v>Suministro e instalación de estructura metalica según diseño estructural acabada con pintura electrostatica, en diferentes colores para sombrillas.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
      <c r="C56" s="1375"/>
      <c r="D56" s="1375"/>
      <c r="E56" s="1375"/>
      <c r="F56" s="1375"/>
      <c r="G56" s="929" t="s">
        <v>9</v>
      </c>
      <c r="H56" s="1024" t="str">
        <f>VLOOKUP(H55,PRESUPUESTO!$A$18:$F$251,3,FALSE)</f>
        <v>kg</v>
      </c>
    </row>
    <row r="57" spans="1:8">
      <c r="A57" s="456"/>
      <c r="B57" s="456"/>
      <c r="C57" s="436"/>
      <c r="D57" s="456"/>
      <c r="E57" s="456"/>
      <c r="F57" s="456"/>
      <c r="G57" s="456"/>
      <c r="H57" s="436"/>
    </row>
    <row r="58" spans="1:8" ht="15.75" thickBot="1">
      <c r="A58" s="450" t="s">
        <v>79</v>
      </c>
      <c r="B58" s="450"/>
      <c r="C58" s="436"/>
      <c r="D58" s="436"/>
      <c r="E58" s="436"/>
      <c r="F58" s="436"/>
      <c r="G58" s="436"/>
      <c r="H58" s="436"/>
    </row>
    <row r="59" spans="1:8">
      <c r="A59" s="1345" t="s">
        <v>80</v>
      </c>
      <c r="B59" s="1346"/>
      <c r="C59" s="1347"/>
      <c r="D59" s="438" t="s">
        <v>81</v>
      </c>
      <c r="E59" s="438" t="s">
        <v>82</v>
      </c>
      <c r="F59" s="438" t="s">
        <v>83</v>
      </c>
      <c r="G59" s="439" t="s">
        <v>84</v>
      </c>
      <c r="H59" s="457"/>
    </row>
    <row r="60" spans="1:8">
      <c r="A60" s="1357" t="s">
        <v>85</v>
      </c>
      <c r="B60" s="1358"/>
      <c r="C60" s="1359"/>
      <c r="D60" s="459"/>
      <c r="E60" s="440"/>
      <c r="F60" s="440"/>
      <c r="G60" s="432">
        <f>ROUND(H85*0.05,0)</f>
        <v>0</v>
      </c>
      <c r="H60" s="460"/>
    </row>
    <row r="61" spans="1:8">
      <c r="A61" s="1357" t="s">
        <v>215</v>
      </c>
      <c r="B61" s="1358"/>
      <c r="C61" s="1359"/>
      <c r="D61" s="461" t="s">
        <v>237</v>
      </c>
      <c r="E61" s="462">
        <v>13000</v>
      </c>
      <c r="F61" s="440">
        <v>0.3</v>
      </c>
      <c r="G61" s="432">
        <f>E61*F61</f>
        <v>3900</v>
      </c>
      <c r="H61" s="460"/>
    </row>
    <row r="62" spans="1:8" ht="15.75" thickBot="1">
      <c r="A62" s="1342"/>
      <c r="B62" s="1343"/>
      <c r="C62" s="1344"/>
      <c r="D62" s="464"/>
      <c r="E62" s="433"/>
      <c r="F62" s="434"/>
      <c r="G62" s="441"/>
      <c r="H62" s="465"/>
    </row>
    <row r="63" spans="1:8" ht="15.75" thickBot="1">
      <c r="A63" s="436"/>
      <c r="B63" s="436"/>
      <c r="C63" s="436"/>
      <c r="D63" s="436"/>
      <c r="E63" s="436"/>
      <c r="F63" s="436"/>
      <c r="G63" s="437" t="s">
        <v>86</v>
      </c>
      <c r="H63" s="466">
        <f>SUM(G60:G62)</f>
        <v>3900</v>
      </c>
    </row>
    <row r="64" spans="1:8" ht="15.75" thickBot="1">
      <c r="A64" s="450" t="s">
        <v>87</v>
      </c>
      <c r="B64" s="450"/>
      <c r="C64" s="436"/>
      <c r="D64" s="436"/>
      <c r="E64" s="436"/>
      <c r="F64" s="436"/>
      <c r="G64" s="436"/>
      <c r="H64" s="436"/>
    </row>
    <row r="65" spans="1:8">
      <c r="A65" s="1345" t="s">
        <v>80</v>
      </c>
      <c r="B65" s="1346"/>
      <c r="C65" s="1347"/>
      <c r="D65" s="438" t="s">
        <v>88</v>
      </c>
      <c r="E65" s="438" t="s">
        <v>89</v>
      </c>
      <c r="F65" s="438" t="s">
        <v>90</v>
      </c>
      <c r="G65" s="439" t="s">
        <v>84</v>
      </c>
      <c r="H65" s="457"/>
    </row>
    <row r="66" spans="1:8">
      <c r="A66" s="458" t="s">
        <v>542</v>
      </c>
      <c r="B66" s="467"/>
      <c r="C66" s="468"/>
      <c r="D66" s="459" t="s">
        <v>266</v>
      </c>
      <c r="E66" s="674">
        <v>13200</v>
      </c>
      <c r="F66" s="440">
        <v>1</v>
      </c>
      <c r="G66" s="432">
        <f>E66*F66</f>
        <v>13200</v>
      </c>
      <c r="H66" s="460"/>
    </row>
    <row r="67" spans="1:8">
      <c r="A67" s="469"/>
      <c r="B67" s="467"/>
      <c r="C67" s="468"/>
      <c r="D67" s="459"/>
      <c r="E67" s="430"/>
      <c r="F67" s="431"/>
      <c r="G67" s="432"/>
      <c r="H67" s="460"/>
    </row>
    <row r="68" spans="1:8">
      <c r="A68" s="469" t="s">
        <v>93</v>
      </c>
      <c r="B68" s="467"/>
      <c r="C68" s="471">
        <v>0.05</v>
      </c>
      <c r="D68" s="459"/>
      <c r="E68" s="430"/>
      <c r="F68" s="431"/>
      <c r="G68" s="432">
        <f>SUM(G65:G67)*C68</f>
        <v>660</v>
      </c>
      <c r="H68" s="460"/>
    </row>
    <row r="69" spans="1:8">
      <c r="A69" s="469"/>
      <c r="B69" s="467"/>
      <c r="C69" s="468"/>
      <c r="D69" s="459"/>
      <c r="E69" s="430"/>
      <c r="F69" s="431"/>
      <c r="G69" s="432"/>
      <c r="H69" s="460"/>
    </row>
    <row r="70" spans="1:8">
      <c r="A70" s="469"/>
      <c r="B70" s="467"/>
      <c r="C70" s="468"/>
      <c r="D70" s="459"/>
      <c r="E70" s="430"/>
      <c r="F70" s="431"/>
      <c r="G70" s="432"/>
      <c r="H70" s="460"/>
    </row>
    <row r="71" spans="1:8" ht="15.75" thickBot="1">
      <c r="A71" s="472"/>
      <c r="B71" s="473"/>
      <c r="C71" s="474"/>
      <c r="D71" s="464"/>
      <c r="E71" s="433"/>
      <c r="F71" s="434"/>
      <c r="G71" s="435"/>
      <c r="H71" s="465"/>
    </row>
    <row r="72" spans="1:8" ht="15.75" thickBot="1">
      <c r="A72" s="436"/>
      <c r="B72" s="436"/>
      <c r="C72" s="436"/>
      <c r="D72" s="436"/>
      <c r="E72" s="436"/>
      <c r="F72" s="436"/>
      <c r="G72" s="437" t="s">
        <v>86</v>
      </c>
      <c r="H72" s="466">
        <f>SUM(G66:G71)</f>
        <v>13860</v>
      </c>
    </row>
    <row r="73" spans="1:8" ht="15.75" thickBot="1">
      <c r="A73" s="450" t="s">
        <v>94</v>
      </c>
      <c r="B73" s="450"/>
      <c r="C73" s="436"/>
      <c r="D73" s="436"/>
      <c r="E73" s="436"/>
      <c r="F73" s="436"/>
      <c r="G73" s="436"/>
      <c r="H73" s="436"/>
    </row>
    <row r="74" spans="1:8">
      <c r="A74" s="1345" t="s">
        <v>95</v>
      </c>
      <c r="B74" s="1346"/>
      <c r="C74" s="1347"/>
      <c r="D74" s="438" t="s">
        <v>88</v>
      </c>
      <c r="E74" s="438" t="s">
        <v>89</v>
      </c>
      <c r="F74" s="438" t="s">
        <v>90</v>
      </c>
      <c r="G74" s="439" t="s">
        <v>84</v>
      </c>
      <c r="H74" s="457"/>
    </row>
    <row r="75" spans="1:8">
      <c r="A75" s="458"/>
      <c r="B75" s="467"/>
      <c r="C75" s="468"/>
      <c r="D75" s="459"/>
      <c r="E75" s="430"/>
      <c r="F75" s="440"/>
      <c r="G75" s="440"/>
      <c r="H75" s="460"/>
    </row>
    <row r="76" spans="1:8" ht="15.75" thickBot="1">
      <c r="A76" s="1342"/>
      <c r="B76" s="1343"/>
      <c r="C76" s="1344"/>
      <c r="D76" s="475"/>
      <c r="E76" s="433"/>
      <c r="F76" s="434"/>
      <c r="G76" s="441"/>
      <c r="H76" s="460"/>
    </row>
    <row r="77" spans="1:8" ht="15.75" thickBot="1">
      <c r="A77" s="436"/>
      <c r="B77" s="436"/>
      <c r="C77" s="436"/>
      <c r="D77" s="436"/>
      <c r="E77" s="436"/>
      <c r="F77" s="436"/>
      <c r="G77" s="437" t="s">
        <v>86</v>
      </c>
      <c r="H77" s="466">
        <f>SUM(G75:G76)</f>
        <v>0</v>
      </c>
    </row>
    <row r="78" spans="1:8" ht="15.75" thickBot="1">
      <c r="A78" s="450" t="s">
        <v>96</v>
      </c>
      <c r="B78" s="450"/>
      <c r="C78" s="436"/>
      <c r="D78" s="436"/>
      <c r="E78" s="436"/>
      <c r="F78" s="436"/>
      <c r="G78" s="436"/>
      <c r="H78" s="436"/>
    </row>
    <row r="79" spans="1:8">
      <c r="A79" s="476" t="s">
        <v>97</v>
      </c>
      <c r="B79" s="438"/>
      <c r="C79" s="438" t="s">
        <v>98</v>
      </c>
      <c r="D79" s="438" t="s">
        <v>99</v>
      </c>
      <c r="E79" s="442" t="s">
        <v>100</v>
      </c>
      <c r="F79" s="443" t="s">
        <v>83</v>
      </c>
      <c r="G79" s="444" t="s">
        <v>84</v>
      </c>
      <c r="H79" s="477"/>
    </row>
    <row r="80" spans="1:8">
      <c r="A80" s="478"/>
      <c r="B80" s="468"/>
      <c r="C80" s="479"/>
      <c r="D80" s="480"/>
      <c r="E80" s="440"/>
      <c r="F80" s="440"/>
      <c r="G80" s="445"/>
      <c r="H80" s="451"/>
    </row>
    <row r="81" spans="1:8">
      <c r="A81" s="478"/>
      <c r="B81" s="467"/>
      <c r="C81" s="479"/>
      <c r="D81" s="480"/>
      <c r="E81" s="440"/>
      <c r="F81" s="440"/>
      <c r="G81" s="445"/>
      <c r="H81" s="451"/>
    </row>
    <row r="82" spans="1:8">
      <c r="A82" s="478"/>
      <c r="B82" s="468"/>
      <c r="C82" s="430"/>
      <c r="D82" s="459"/>
      <c r="E82" s="430"/>
      <c r="F82" s="440"/>
      <c r="G82" s="445"/>
      <c r="H82" s="451"/>
    </row>
    <row r="83" spans="1:8">
      <c r="A83" s="478"/>
      <c r="B83" s="468"/>
      <c r="C83" s="430"/>
      <c r="D83" s="459"/>
      <c r="E83" s="430"/>
      <c r="F83" s="440"/>
      <c r="G83" s="445"/>
      <c r="H83" s="451"/>
    </row>
    <row r="84" spans="1:8" ht="15.75" thickBot="1">
      <c r="A84" s="481"/>
      <c r="B84" s="474"/>
      <c r="C84" s="474"/>
      <c r="D84" s="474"/>
      <c r="E84" s="474"/>
      <c r="F84" s="474"/>
      <c r="G84" s="482"/>
      <c r="H84" s="482"/>
    </row>
    <row r="85" spans="1:8" ht="15.75" thickBot="1">
      <c r="A85" s="436"/>
      <c r="B85" s="436"/>
      <c r="C85" s="436"/>
      <c r="D85" s="436"/>
      <c r="E85" s="436"/>
      <c r="F85" s="436"/>
      <c r="G85" s="437" t="s">
        <v>86</v>
      </c>
      <c r="H85" s="466">
        <f>SUM(G80:G84)</f>
        <v>0</v>
      </c>
    </row>
    <row r="86" spans="1:8" ht="15.75" thickBot="1">
      <c r="A86" s="436"/>
      <c r="B86" s="436"/>
      <c r="C86" s="436"/>
      <c r="D86" s="436"/>
      <c r="E86" s="436"/>
      <c r="F86" s="436"/>
      <c r="G86" s="483"/>
      <c r="H86" s="436"/>
    </row>
    <row r="87" spans="1:8" ht="15.75" thickBot="1">
      <c r="A87" s="436"/>
      <c r="B87" s="436"/>
      <c r="C87" s="436"/>
      <c r="D87" s="436"/>
      <c r="E87" s="484" t="s">
        <v>102</v>
      </c>
      <c r="F87" s="485"/>
      <c r="G87" s="485"/>
      <c r="H87" s="466">
        <f>H39</f>
        <v>19925</v>
      </c>
    </row>
    <row r="88" spans="1:8" ht="15.75" thickBot="1">
      <c r="A88" s="450" t="s">
        <v>103</v>
      </c>
      <c r="B88" s="450"/>
      <c r="C88" s="436"/>
      <c r="D88" s="436"/>
      <c r="E88" s="436"/>
      <c r="F88" s="436"/>
      <c r="G88" s="436"/>
      <c r="H88" s="436"/>
    </row>
    <row r="89" spans="1:8">
      <c r="A89" s="487" t="s">
        <v>80</v>
      </c>
      <c r="B89" s="488"/>
      <c r="C89" s="488"/>
      <c r="D89" s="488"/>
      <c r="E89" s="489"/>
      <c r="F89" s="490" t="s">
        <v>104</v>
      </c>
      <c r="G89" s="491" t="s">
        <v>105</v>
      </c>
      <c r="H89" s="457"/>
    </row>
    <row r="90" spans="1:8">
      <c r="A90" s="469" t="s">
        <v>106</v>
      </c>
      <c r="B90" s="467"/>
      <c r="C90" s="467"/>
      <c r="D90" s="467"/>
      <c r="E90" s="468"/>
      <c r="F90" s="492">
        <f>PRESUPUESTO!$E$222</f>
        <v>0.109</v>
      </c>
      <c r="G90" s="493">
        <f>+F90*H87</f>
        <v>2171.8249999999998</v>
      </c>
      <c r="H90" s="460"/>
    </row>
    <row r="91" spans="1:8">
      <c r="A91" s="469" t="s">
        <v>107</v>
      </c>
      <c r="B91" s="467"/>
      <c r="C91" s="467"/>
      <c r="D91" s="467"/>
      <c r="E91" s="468"/>
      <c r="F91" s="492">
        <f>PRESUPUESTO!$E$223</f>
        <v>0.05</v>
      </c>
      <c r="G91" s="493">
        <f>+F91*H87</f>
        <v>996.25</v>
      </c>
      <c r="H91" s="460"/>
    </row>
    <row r="92" spans="1:8" ht="15.75" thickBot="1">
      <c r="A92" s="472" t="s">
        <v>108</v>
      </c>
      <c r="B92" s="473"/>
      <c r="C92" s="473"/>
      <c r="D92" s="473"/>
      <c r="E92" s="474"/>
      <c r="F92" s="494">
        <v>0</v>
      </c>
      <c r="G92" s="495">
        <f>+F92*H87</f>
        <v>0</v>
      </c>
      <c r="H92" s="465"/>
    </row>
    <row r="93" spans="1:8" ht="15.75" thickBot="1">
      <c r="A93" s="436"/>
      <c r="B93" s="436"/>
      <c r="C93" s="436"/>
      <c r="D93" s="436"/>
      <c r="E93" s="436"/>
      <c r="F93" s="436"/>
      <c r="G93" s="437" t="s">
        <v>86</v>
      </c>
      <c r="H93" s="496">
        <f>SUM(G90:G92)</f>
        <v>3168.0749999999998</v>
      </c>
    </row>
    <row r="94" spans="1:8" ht="15.75" thickBot="1">
      <c r="A94" s="436"/>
      <c r="B94" s="436"/>
      <c r="C94" s="436"/>
      <c r="D94" s="436"/>
      <c r="E94" s="436"/>
      <c r="F94" s="436"/>
      <c r="G94" s="436"/>
      <c r="H94" s="436"/>
    </row>
    <row r="95" spans="1:8" ht="15.75" thickBot="1">
      <c r="C95" s="436"/>
      <c r="D95" s="484" t="s">
        <v>109</v>
      </c>
      <c r="E95" s="485"/>
      <c r="F95" s="485"/>
      <c r="G95" s="485"/>
      <c r="H95" s="466">
        <f>ROUND((H87+H93),0)</f>
        <v>23093</v>
      </c>
    </row>
    <row r="97" spans="1:14">
      <c r="A97" s="186" t="s">
        <v>77</v>
      </c>
    </row>
    <row r="98" spans="1:14" ht="15.75" thickBot="1"/>
    <row r="99" spans="1:14">
      <c r="A99" s="1348" t="s">
        <v>213</v>
      </c>
      <c r="B99" s="1349"/>
      <c r="C99" s="1350"/>
      <c r="D99" s="448"/>
      <c r="E99" s="448"/>
      <c r="F99" s="448"/>
      <c r="G99" s="448"/>
      <c r="H99" s="449"/>
    </row>
    <row r="100" spans="1:14">
      <c r="A100" s="1351"/>
      <c r="B100" s="1352"/>
      <c r="C100" s="1353"/>
      <c r="D100" s="436"/>
      <c r="E100" s="450" t="s">
        <v>78</v>
      </c>
      <c r="F100" s="436"/>
      <c r="G100" s="436"/>
      <c r="H100" s="451"/>
    </row>
    <row r="101" spans="1:14" ht="15.75" thickBot="1">
      <c r="A101" s="1354"/>
      <c r="B101" s="1355"/>
      <c r="C101" s="1356"/>
      <c r="D101" s="1360"/>
      <c r="E101" s="1361"/>
      <c r="F101" s="1361"/>
      <c r="G101" s="1361"/>
      <c r="H101" s="1362"/>
    </row>
    <row r="102" spans="1:14">
      <c r="A102" s="455"/>
      <c r="B102" s="436"/>
      <c r="C102" s="436"/>
      <c r="D102" s="436"/>
      <c r="E102" s="436"/>
      <c r="F102" s="436"/>
      <c r="G102" s="436"/>
      <c r="H102" s="436"/>
    </row>
    <row r="103" spans="1:14" s="446" customFormat="1" ht="12.75">
      <c r="A103" s="455" t="s">
        <v>1228</v>
      </c>
      <c r="B103" s="456" t="str">
        <f>+PRESUPUESTO!$B$145</f>
        <v>CUBIERTA Y CIELOS FALSOS</v>
      </c>
      <c r="C103" s="436"/>
      <c r="E103" s="456"/>
      <c r="G103" s="456" t="s">
        <v>1123</v>
      </c>
      <c r="H103" s="436" t="str">
        <f>+PRESUPUESTO!$A$149</f>
        <v>8.1.3</v>
      </c>
    </row>
    <row r="104" spans="1:14" s="931" customFormat="1" ht="82.15" customHeight="1">
      <c r="A104" s="928" t="s">
        <v>1122</v>
      </c>
      <c r="B104" s="1375" t="str">
        <f>VLOOKUP(H103,PRESUPUESTO!$A$18:$F$251,2,FALSE)</f>
        <v>Suministro e instalación de techo en vidrio templado laminado en 6 mm, para cubierta de locales.</v>
      </c>
      <c r="C104" s="1375"/>
      <c r="D104" s="1375"/>
      <c r="E104" s="1375"/>
      <c r="F104" s="1375"/>
      <c r="G104" s="929" t="s">
        <v>9</v>
      </c>
      <c r="H104" s="1024" t="str">
        <f>VLOOKUP(H103,PRESUPUESTO!$A$18:$F$251,3,FALSE)</f>
        <v>m2</v>
      </c>
    </row>
    <row r="105" spans="1:14">
      <c r="A105" s="456"/>
      <c r="B105" s="456"/>
      <c r="C105" s="436"/>
      <c r="D105" s="456"/>
      <c r="E105" s="456"/>
      <c r="F105" s="456"/>
      <c r="G105" s="456"/>
      <c r="H105" s="436"/>
    </row>
    <row r="106" spans="1:14" ht="15.75" thickBot="1">
      <c r="A106" s="450" t="s">
        <v>79</v>
      </c>
      <c r="B106" s="450"/>
      <c r="C106" s="436"/>
      <c r="D106" s="436"/>
      <c r="E106" s="436"/>
      <c r="F106" s="436"/>
      <c r="G106" s="436"/>
      <c r="H106" s="436"/>
    </row>
    <row r="107" spans="1:14">
      <c r="A107" s="1345" t="s">
        <v>80</v>
      </c>
      <c r="B107" s="1346"/>
      <c r="C107" s="1347"/>
      <c r="D107" s="438" t="s">
        <v>81</v>
      </c>
      <c r="E107" s="438" t="s">
        <v>82</v>
      </c>
      <c r="F107" s="438" t="s">
        <v>83</v>
      </c>
      <c r="G107" s="439" t="s">
        <v>84</v>
      </c>
      <c r="H107" s="457"/>
      <c r="I107" s="436"/>
      <c r="K107" s="447"/>
      <c r="L107" s="447"/>
      <c r="M107" s="447"/>
      <c r="N107" s="447"/>
    </row>
    <row r="108" spans="1:14">
      <c r="A108" s="1357" t="s">
        <v>85</v>
      </c>
      <c r="B108" s="1358"/>
      <c r="C108" s="1359"/>
      <c r="D108" s="459"/>
      <c r="E108" s="440"/>
      <c r="F108" s="440"/>
      <c r="G108" s="432">
        <f>ROUND(H133*0.05,0)</f>
        <v>0</v>
      </c>
      <c r="H108" s="460"/>
      <c r="I108" s="436"/>
      <c r="K108" s="447"/>
      <c r="L108" s="447"/>
      <c r="M108" s="447"/>
      <c r="N108" s="447"/>
    </row>
    <row r="109" spans="1:14">
      <c r="A109" s="1357" t="s">
        <v>215</v>
      </c>
      <c r="B109" s="1358"/>
      <c r="C109" s="1359"/>
      <c r="D109" s="461" t="s">
        <v>237</v>
      </c>
      <c r="E109" s="462">
        <v>13000</v>
      </c>
      <c r="F109" s="440">
        <v>0.3</v>
      </c>
      <c r="G109" s="432">
        <f>E109*F109</f>
        <v>3900</v>
      </c>
      <c r="H109" s="460"/>
      <c r="I109" s="436"/>
      <c r="K109" s="447"/>
      <c r="L109" s="447"/>
      <c r="M109" s="447"/>
      <c r="N109" s="447"/>
    </row>
    <row r="110" spans="1:14" ht="15.75" thickBot="1">
      <c r="A110" s="1342"/>
      <c r="B110" s="1343"/>
      <c r="C110" s="1344"/>
      <c r="D110" s="464"/>
      <c r="E110" s="433"/>
      <c r="F110" s="434"/>
      <c r="G110" s="441"/>
      <c r="H110" s="465"/>
      <c r="L110" s="503"/>
    </row>
    <row r="111" spans="1:14" ht="15.75" thickBot="1">
      <c r="A111" s="436"/>
      <c r="B111" s="436"/>
      <c r="C111" s="436"/>
      <c r="D111" s="436"/>
      <c r="E111" s="436"/>
      <c r="F111" s="436"/>
      <c r="G111" s="437" t="s">
        <v>86</v>
      </c>
      <c r="H111" s="466">
        <f>SUM(G108:G110)</f>
        <v>3900</v>
      </c>
      <c r="L111" s="552"/>
    </row>
    <row r="112" spans="1:14" ht="15.75" thickBot="1">
      <c r="A112" s="450" t="s">
        <v>87</v>
      </c>
      <c r="B112" s="450"/>
      <c r="C112" s="436"/>
      <c r="D112" s="436"/>
      <c r="E112" s="436"/>
      <c r="F112" s="436"/>
      <c r="G112" s="436"/>
      <c r="H112" s="436"/>
      <c r="L112" s="552"/>
    </row>
    <row r="113" spans="1:12">
      <c r="A113" s="1345" t="s">
        <v>80</v>
      </c>
      <c r="B113" s="1346"/>
      <c r="C113" s="1347"/>
      <c r="D113" s="438" t="s">
        <v>88</v>
      </c>
      <c r="E113" s="438" t="s">
        <v>89</v>
      </c>
      <c r="F113" s="438" t="s">
        <v>90</v>
      </c>
      <c r="G113" s="439" t="s">
        <v>84</v>
      </c>
      <c r="H113" s="457"/>
      <c r="L113" s="545"/>
    </row>
    <row r="114" spans="1:12">
      <c r="A114" s="458" t="s">
        <v>267</v>
      </c>
      <c r="B114" s="467"/>
      <c r="C114" s="468"/>
      <c r="D114" s="459" t="s">
        <v>237</v>
      </c>
      <c r="E114" s="462">
        <f>117582565*1.19*1.3/218.2</f>
        <v>833639.90859303402</v>
      </c>
      <c r="F114" s="440">
        <v>1</v>
      </c>
      <c r="G114" s="432">
        <f>E114*F114</f>
        <v>833639.90859303402</v>
      </c>
      <c r="H114" s="460"/>
    </row>
    <row r="115" spans="1:12">
      <c r="A115" s="469"/>
      <c r="B115" s="467"/>
      <c r="C115" s="468"/>
      <c r="D115" s="459"/>
      <c r="E115" s="430"/>
      <c r="F115" s="431"/>
      <c r="G115" s="432"/>
      <c r="H115" s="460"/>
    </row>
    <row r="116" spans="1:12">
      <c r="A116" s="469" t="s">
        <v>93</v>
      </c>
      <c r="B116" s="467"/>
      <c r="C116" s="471">
        <v>0.05</v>
      </c>
      <c r="D116" s="459"/>
      <c r="E116" s="430"/>
      <c r="F116" s="431"/>
      <c r="G116" s="432"/>
      <c r="H116" s="460"/>
    </row>
    <row r="117" spans="1:12">
      <c r="A117" s="469"/>
      <c r="B117" s="467"/>
      <c r="C117" s="468"/>
      <c r="D117" s="459"/>
      <c r="E117" s="430"/>
      <c r="F117" s="431"/>
      <c r="G117" s="432"/>
      <c r="H117" s="460"/>
    </row>
    <row r="118" spans="1:12">
      <c r="A118" s="469"/>
      <c r="B118" s="467"/>
      <c r="C118" s="468"/>
      <c r="D118" s="459"/>
      <c r="E118" s="430"/>
      <c r="F118" s="431"/>
      <c r="G118" s="432"/>
      <c r="H118" s="460"/>
    </row>
    <row r="119" spans="1:12" ht="15.75" thickBot="1">
      <c r="A119" s="472"/>
      <c r="B119" s="473"/>
      <c r="C119" s="474"/>
      <c r="D119" s="464"/>
      <c r="E119" s="433"/>
      <c r="F119" s="434"/>
      <c r="G119" s="435"/>
      <c r="H119" s="465"/>
    </row>
    <row r="120" spans="1:12" ht="15.75" thickBot="1">
      <c r="A120" s="436"/>
      <c r="B120" s="436"/>
      <c r="C120" s="436"/>
      <c r="D120" s="436"/>
      <c r="E120" s="436"/>
      <c r="F120" s="436"/>
      <c r="G120" s="437" t="s">
        <v>86</v>
      </c>
      <c r="H120" s="466">
        <f>SUM(G114:G119)</f>
        <v>833639.90859303402</v>
      </c>
    </row>
    <row r="121" spans="1:12" ht="15.75" thickBot="1">
      <c r="A121" s="450" t="s">
        <v>94</v>
      </c>
      <c r="B121" s="450"/>
      <c r="C121" s="436"/>
      <c r="D121" s="436"/>
      <c r="E121" s="436"/>
      <c r="F121" s="436"/>
      <c r="G121" s="436"/>
      <c r="H121" s="436"/>
    </row>
    <row r="122" spans="1:12">
      <c r="A122" s="1345" t="s">
        <v>95</v>
      </c>
      <c r="B122" s="1346"/>
      <c r="C122" s="1347"/>
      <c r="D122" s="438" t="s">
        <v>88</v>
      </c>
      <c r="E122" s="438" t="s">
        <v>89</v>
      </c>
      <c r="F122" s="438" t="s">
        <v>90</v>
      </c>
      <c r="G122" s="439" t="s">
        <v>84</v>
      </c>
      <c r="H122" s="457"/>
    </row>
    <row r="123" spans="1:12">
      <c r="A123" s="458"/>
      <c r="B123" s="467"/>
      <c r="C123" s="468"/>
      <c r="D123" s="459"/>
      <c r="E123" s="430"/>
      <c r="F123" s="440"/>
      <c r="G123" s="440"/>
      <c r="H123" s="460"/>
    </row>
    <row r="124" spans="1:12" ht="15.75" thickBot="1">
      <c r="A124" s="1342"/>
      <c r="B124" s="1343"/>
      <c r="C124" s="1344"/>
      <c r="D124" s="475"/>
      <c r="E124" s="433"/>
      <c r="F124" s="434"/>
      <c r="G124" s="441"/>
      <c r="H124" s="460"/>
    </row>
    <row r="125" spans="1:12" ht="15.75" thickBot="1">
      <c r="A125" s="436"/>
      <c r="B125" s="436"/>
      <c r="C125" s="436"/>
      <c r="D125" s="436"/>
      <c r="E125" s="436"/>
      <c r="F125" s="436"/>
      <c r="G125" s="437" t="s">
        <v>86</v>
      </c>
      <c r="H125" s="466">
        <f>SUM(G123:G124)</f>
        <v>0</v>
      </c>
    </row>
    <row r="126" spans="1:12" ht="15.75" thickBot="1">
      <c r="A126" s="450" t="s">
        <v>96</v>
      </c>
      <c r="B126" s="450"/>
      <c r="C126" s="436"/>
      <c r="D126" s="436"/>
      <c r="E126" s="436"/>
      <c r="F126" s="436"/>
      <c r="G126" s="436"/>
      <c r="H126" s="436"/>
    </row>
    <row r="127" spans="1:12">
      <c r="A127" s="476" t="s">
        <v>97</v>
      </c>
      <c r="B127" s="438"/>
      <c r="C127" s="438" t="s">
        <v>98</v>
      </c>
      <c r="D127" s="438" t="s">
        <v>99</v>
      </c>
      <c r="E127" s="442" t="s">
        <v>100</v>
      </c>
      <c r="F127" s="443" t="s">
        <v>83</v>
      </c>
      <c r="G127" s="444" t="s">
        <v>84</v>
      </c>
      <c r="H127" s="477"/>
    </row>
    <row r="128" spans="1:12">
      <c r="A128" s="478"/>
      <c r="B128" s="468"/>
      <c r="C128" s="479"/>
      <c r="D128" s="480"/>
      <c r="E128" s="440"/>
      <c r="F128" s="440"/>
      <c r="G128" s="445"/>
      <c r="H128" s="451"/>
    </row>
    <row r="129" spans="1:8">
      <c r="A129" s="478"/>
      <c r="B129" s="467"/>
      <c r="C129" s="479"/>
      <c r="D129" s="480"/>
      <c r="E129" s="440"/>
      <c r="F129" s="440"/>
      <c r="G129" s="445"/>
      <c r="H129" s="451"/>
    </row>
    <row r="130" spans="1:8">
      <c r="A130" s="478"/>
      <c r="B130" s="468"/>
      <c r="C130" s="430"/>
      <c r="D130" s="459"/>
      <c r="E130" s="430"/>
      <c r="F130" s="440"/>
      <c r="G130" s="445"/>
      <c r="H130" s="451"/>
    </row>
    <row r="131" spans="1:8">
      <c r="A131" s="478"/>
      <c r="B131" s="468"/>
      <c r="C131" s="430"/>
      <c r="D131" s="459"/>
      <c r="E131" s="430"/>
      <c r="F131" s="440"/>
      <c r="G131" s="445"/>
      <c r="H131" s="451"/>
    </row>
    <row r="132" spans="1:8" ht="15.75" thickBot="1">
      <c r="A132" s="481"/>
      <c r="B132" s="474"/>
      <c r="C132" s="474"/>
      <c r="D132" s="474"/>
      <c r="E132" s="474"/>
      <c r="F132" s="474"/>
      <c r="G132" s="482"/>
      <c r="H132" s="482"/>
    </row>
    <row r="133" spans="1:8" ht="15.75" thickBot="1">
      <c r="A133" s="436"/>
      <c r="B133" s="436"/>
      <c r="C133" s="436"/>
      <c r="D133" s="436"/>
      <c r="E133" s="436"/>
      <c r="F133" s="436"/>
      <c r="G133" s="437" t="s">
        <v>86</v>
      </c>
      <c r="H133" s="466">
        <f>SUM(G128:G132)</f>
        <v>0</v>
      </c>
    </row>
    <row r="134" spans="1:8" ht="15.75" thickBot="1">
      <c r="A134" s="436"/>
      <c r="B134" s="436"/>
      <c r="C134" s="436"/>
      <c r="D134" s="436"/>
      <c r="E134" s="436"/>
      <c r="F134" s="436"/>
      <c r="G134" s="483"/>
      <c r="H134" s="436"/>
    </row>
    <row r="135" spans="1:8" ht="15.75" thickBot="1">
      <c r="A135" s="436"/>
      <c r="B135" s="436"/>
      <c r="C135" s="436"/>
      <c r="D135" s="436"/>
      <c r="E135" s="484" t="s">
        <v>102</v>
      </c>
      <c r="F135" s="485"/>
      <c r="G135" s="485"/>
      <c r="H135" s="466">
        <f>H111+H120+H125+H133</f>
        <v>837539.90859303402</v>
      </c>
    </row>
    <row r="136" spans="1:8" ht="15.75" thickBot="1">
      <c r="A136" s="450" t="s">
        <v>103</v>
      </c>
      <c r="B136" s="450"/>
      <c r="C136" s="436"/>
      <c r="D136" s="436"/>
      <c r="E136" s="436"/>
      <c r="F136" s="436"/>
      <c r="G136" s="436"/>
      <c r="H136" s="436"/>
    </row>
    <row r="137" spans="1:8">
      <c r="A137" s="487" t="s">
        <v>80</v>
      </c>
      <c r="B137" s="488"/>
      <c r="C137" s="488"/>
      <c r="D137" s="488"/>
      <c r="E137" s="489"/>
      <c r="F137" s="490" t="s">
        <v>104</v>
      </c>
      <c r="G137" s="491" t="s">
        <v>105</v>
      </c>
      <c r="H137" s="457"/>
    </row>
    <row r="138" spans="1:8">
      <c r="A138" s="469" t="s">
        <v>106</v>
      </c>
      <c r="B138" s="467"/>
      <c r="C138" s="467"/>
      <c r="D138" s="467"/>
      <c r="E138" s="468"/>
      <c r="F138" s="492">
        <f>PRESUPUESTO!$E$222</f>
        <v>0.109</v>
      </c>
      <c r="G138" s="493">
        <f>+F138*H135</f>
        <v>91291.85003664071</v>
      </c>
      <c r="H138" s="460"/>
    </row>
    <row r="139" spans="1:8">
      <c r="A139" s="469" t="s">
        <v>107</v>
      </c>
      <c r="B139" s="467"/>
      <c r="C139" s="467"/>
      <c r="D139" s="467"/>
      <c r="E139" s="468"/>
      <c r="F139" s="492">
        <f>PRESUPUESTO!$E$223</f>
        <v>0.05</v>
      </c>
      <c r="G139" s="493">
        <f>+F139*H135</f>
        <v>41876.995429651703</v>
      </c>
      <c r="H139" s="460"/>
    </row>
    <row r="140" spans="1:8" ht="15.75" thickBot="1">
      <c r="A140" s="472" t="s">
        <v>108</v>
      </c>
      <c r="B140" s="473"/>
      <c r="C140" s="473"/>
      <c r="D140" s="473"/>
      <c r="E140" s="474"/>
      <c r="F140" s="494">
        <v>0</v>
      </c>
      <c r="G140" s="495">
        <f>+F140*H135</f>
        <v>0</v>
      </c>
      <c r="H140" s="465"/>
    </row>
    <row r="141" spans="1:8" ht="15.75" thickBot="1">
      <c r="A141" s="436"/>
      <c r="B141" s="436"/>
      <c r="C141" s="436"/>
      <c r="D141" s="436"/>
      <c r="E141" s="436"/>
      <c r="F141" s="436"/>
      <c r="G141" s="437" t="s">
        <v>86</v>
      </c>
      <c r="H141" s="496">
        <f>SUM(G138:G140)</f>
        <v>133168.84546629241</v>
      </c>
    </row>
    <row r="142" spans="1:8" ht="15.75" thickBot="1">
      <c r="A142" s="436"/>
      <c r="B142" s="436"/>
      <c r="C142" s="436"/>
      <c r="D142" s="436"/>
      <c r="E142" s="436"/>
      <c r="F142" s="436"/>
      <c r="G142" s="436"/>
      <c r="H142" s="436"/>
    </row>
    <row r="143" spans="1:8" ht="15.75" thickBot="1">
      <c r="C143" s="436"/>
      <c r="D143" s="484" t="s">
        <v>109</v>
      </c>
      <c r="E143" s="485"/>
      <c r="F143" s="485"/>
      <c r="G143" s="485"/>
      <c r="H143" s="466">
        <f>ROUND((H135+H141),0)</f>
        <v>970709</v>
      </c>
    </row>
    <row r="145" spans="1:8">
      <c r="A145" s="186" t="s">
        <v>77</v>
      </c>
    </row>
    <row r="146" spans="1:8" ht="15.75" thickBot="1"/>
    <row r="147" spans="1:8">
      <c r="A147" s="1348" t="s">
        <v>213</v>
      </c>
      <c r="B147" s="1349"/>
      <c r="C147" s="1350"/>
      <c r="D147" s="448"/>
      <c r="E147" s="448"/>
      <c r="F147" s="448"/>
      <c r="G147" s="448"/>
      <c r="H147" s="449"/>
    </row>
    <row r="148" spans="1:8">
      <c r="A148" s="1351"/>
      <c r="B148" s="1352"/>
      <c r="C148" s="1353"/>
      <c r="D148" s="436"/>
      <c r="E148" s="450" t="s">
        <v>78</v>
      </c>
      <c r="F148" s="436"/>
      <c r="G148" s="436"/>
      <c r="H148" s="451"/>
    </row>
    <row r="149" spans="1:8" ht="15.75" thickBot="1">
      <c r="A149" s="1354"/>
      <c r="B149" s="1355"/>
      <c r="C149" s="1356"/>
      <c r="D149" s="1360"/>
      <c r="E149" s="1361"/>
      <c r="F149" s="1361"/>
      <c r="G149" s="1361"/>
      <c r="H149" s="1362"/>
    </row>
    <row r="150" spans="1:8">
      <c r="A150" s="455"/>
      <c r="B150" s="436"/>
      <c r="C150" s="436"/>
      <c r="D150" s="436"/>
      <c r="E150" s="436"/>
      <c r="F150" s="436"/>
      <c r="G150" s="436"/>
      <c r="H150" s="436"/>
    </row>
    <row r="151" spans="1:8" s="446" customFormat="1" ht="12.75">
      <c r="A151" s="455" t="s">
        <v>1228</v>
      </c>
      <c r="B151" s="456" t="str">
        <f>+PRESUPUESTO!$B$145</f>
        <v>CUBIERTA Y CIELOS FALSOS</v>
      </c>
      <c r="C151" s="436"/>
      <c r="E151" s="456"/>
      <c r="G151" s="456" t="s">
        <v>1123</v>
      </c>
      <c r="H151" s="436" t="str">
        <f>+PRESUPUESTO!$A$150</f>
        <v>8.1.4</v>
      </c>
    </row>
    <row r="152" spans="1:8" s="931" customFormat="1" ht="82.15" customHeight="1">
      <c r="A152" s="928" t="s">
        <v>1122</v>
      </c>
      <c r="B152" s="1375" t="str">
        <f>VLOOKUP(H151,PRESUPUESTO!$A$18:$F$251,2,FALSE)</f>
        <v>Suministro e instalación de techo en vidrio templado laminado en 6 mm, para cubierta de sombrillas.</v>
      </c>
      <c r="C152" s="1375"/>
      <c r="D152" s="1375"/>
      <c r="E152" s="1375"/>
      <c r="F152" s="1375"/>
      <c r="G152" s="929" t="s">
        <v>9</v>
      </c>
      <c r="H152" s="1024" t="str">
        <f>VLOOKUP(H151,PRESUPUESTO!$A$18:$F$251,3,FALSE)</f>
        <v>m2</v>
      </c>
    </row>
    <row r="153" spans="1:8">
      <c r="A153" s="456"/>
      <c r="B153" s="456"/>
      <c r="C153" s="436"/>
      <c r="D153" s="456"/>
      <c r="E153" s="456"/>
      <c r="F153" s="456"/>
      <c r="G153" s="456"/>
      <c r="H153" s="436"/>
    </row>
    <row r="154" spans="1:8" ht="15.75" thickBot="1">
      <c r="A154" s="450" t="s">
        <v>79</v>
      </c>
      <c r="B154" s="450"/>
      <c r="C154" s="436"/>
      <c r="D154" s="436"/>
      <c r="E154" s="436"/>
      <c r="F154" s="436"/>
      <c r="G154" s="436"/>
      <c r="H154" s="436"/>
    </row>
    <row r="155" spans="1:8">
      <c r="A155" s="1345" t="s">
        <v>80</v>
      </c>
      <c r="B155" s="1346"/>
      <c r="C155" s="1347"/>
      <c r="D155" s="438" t="s">
        <v>81</v>
      </c>
      <c r="E155" s="438" t="s">
        <v>82</v>
      </c>
      <c r="F155" s="438" t="s">
        <v>83</v>
      </c>
      <c r="G155" s="439" t="s">
        <v>84</v>
      </c>
      <c r="H155" s="457"/>
    </row>
    <row r="156" spans="1:8">
      <c r="A156" s="1357" t="s">
        <v>85</v>
      </c>
      <c r="B156" s="1358"/>
      <c r="C156" s="1359"/>
      <c r="D156" s="459"/>
      <c r="E156" s="440"/>
      <c r="F156" s="440"/>
      <c r="G156" s="432">
        <f>ROUND(H181*0.05,0)</f>
        <v>0</v>
      </c>
      <c r="H156" s="460"/>
    </row>
    <row r="157" spans="1:8">
      <c r="A157" s="1357" t="s">
        <v>215</v>
      </c>
      <c r="B157" s="1358"/>
      <c r="C157" s="1359"/>
      <c r="D157" s="461" t="s">
        <v>237</v>
      </c>
      <c r="E157" s="462">
        <v>13000</v>
      </c>
      <c r="F157" s="440">
        <v>0.3</v>
      </c>
      <c r="G157" s="432">
        <f>E157*F157</f>
        <v>3900</v>
      </c>
      <c r="H157" s="460"/>
    </row>
    <row r="158" spans="1:8" ht="15.75" thickBot="1">
      <c r="A158" s="1342"/>
      <c r="B158" s="1343"/>
      <c r="C158" s="1344"/>
      <c r="D158" s="464"/>
      <c r="E158" s="433"/>
      <c r="F158" s="434"/>
      <c r="G158" s="441"/>
      <c r="H158" s="465"/>
    </row>
    <row r="159" spans="1:8" ht="15.75" thickBot="1">
      <c r="A159" s="436"/>
      <c r="B159" s="436"/>
      <c r="C159" s="436"/>
      <c r="D159" s="436"/>
      <c r="E159" s="436"/>
      <c r="F159" s="436"/>
      <c r="G159" s="437" t="s">
        <v>86</v>
      </c>
      <c r="H159" s="466">
        <f>SUM(G156:G158)</f>
        <v>3900</v>
      </c>
    </row>
    <row r="160" spans="1:8" ht="15.75" thickBot="1">
      <c r="A160" s="450" t="s">
        <v>87</v>
      </c>
      <c r="B160" s="450"/>
      <c r="C160" s="436"/>
      <c r="D160" s="436"/>
      <c r="E160" s="436"/>
      <c r="F160" s="436"/>
      <c r="G160" s="436"/>
      <c r="H160" s="436"/>
    </row>
    <row r="161" spans="1:8">
      <c r="A161" s="1345" t="s">
        <v>80</v>
      </c>
      <c r="B161" s="1346"/>
      <c r="C161" s="1347"/>
      <c r="D161" s="438" t="s">
        <v>88</v>
      </c>
      <c r="E161" s="438" t="s">
        <v>89</v>
      </c>
      <c r="F161" s="438" t="s">
        <v>90</v>
      </c>
      <c r="G161" s="439" t="s">
        <v>84</v>
      </c>
      <c r="H161" s="457"/>
    </row>
    <row r="162" spans="1:8">
      <c r="A162" s="458" t="s">
        <v>267</v>
      </c>
      <c r="B162" s="467"/>
      <c r="C162" s="468"/>
      <c r="D162" s="459" t="s">
        <v>237</v>
      </c>
      <c r="E162" s="462">
        <f>117582565*1.19*1.3/218.2*1.1</f>
        <v>917003.89945233753</v>
      </c>
      <c r="F162" s="440">
        <v>1</v>
      </c>
      <c r="G162" s="432">
        <f>E162*F162</f>
        <v>917003.89945233753</v>
      </c>
      <c r="H162" s="460"/>
    </row>
    <row r="163" spans="1:8">
      <c r="A163" s="469"/>
      <c r="B163" s="467"/>
      <c r="C163" s="468"/>
      <c r="D163" s="459"/>
      <c r="E163" s="430"/>
      <c r="F163" s="431"/>
      <c r="G163" s="432"/>
      <c r="H163" s="460"/>
    </row>
    <row r="164" spans="1:8">
      <c r="A164" s="469" t="s">
        <v>93</v>
      </c>
      <c r="B164" s="467"/>
      <c r="C164" s="471">
        <v>0.05</v>
      </c>
      <c r="D164" s="459"/>
      <c r="E164" s="430"/>
      <c r="F164" s="431"/>
      <c r="G164" s="432"/>
      <c r="H164" s="460"/>
    </row>
    <row r="165" spans="1:8">
      <c r="A165" s="469"/>
      <c r="B165" s="467"/>
      <c r="C165" s="468"/>
      <c r="D165" s="459"/>
      <c r="E165" s="430"/>
      <c r="F165" s="431"/>
      <c r="G165" s="432"/>
      <c r="H165" s="460"/>
    </row>
    <row r="166" spans="1:8">
      <c r="A166" s="469"/>
      <c r="B166" s="467"/>
      <c r="C166" s="468"/>
      <c r="D166" s="459"/>
      <c r="E166" s="430"/>
      <c r="F166" s="431"/>
      <c r="G166" s="432"/>
      <c r="H166" s="460"/>
    </row>
    <row r="167" spans="1:8" ht="15.75" thickBot="1">
      <c r="A167" s="472"/>
      <c r="B167" s="473"/>
      <c r="C167" s="474"/>
      <c r="D167" s="464"/>
      <c r="E167" s="433"/>
      <c r="F167" s="434"/>
      <c r="G167" s="435"/>
      <c r="H167" s="465"/>
    </row>
    <row r="168" spans="1:8" ht="15.75" thickBot="1">
      <c r="A168" s="436"/>
      <c r="B168" s="436"/>
      <c r="C168" s="436"/>
      <c r="D168" s="436"/>
      <c r="E168" s="436"/>
      <c r="F168" s="436"/>
      <c r="G168" s="437" t="s">
        <v>86</v>
      </c>
      <c r="H168" s="466">
        <f>SUM(G162:G167)</f>
        <v>917003.89945233753</v>
      </c>
    </row>
    <row r="169" spans="1:8" ht="15.75" thickBot="1">
      <c r="A169" s="450" t="s">
        <v>94</v>
      </c>
      <c r="B169" s="450"/>
      <c r="C169" s="436"/>
      <c r="D169" s="436"/>
      <c r="E169" s="436"/>
      <c r="F169" s="436"/>
      <c r="G169" s="436"/>
      <c r="H169" s="436"/>
    </row>
    <row r="170" spans="1:8">
      <c r="A170" s="1345" t="s">
        <v>95</v>
      </c>
      <c r="B170" s="1346"/>
      <c r="C170" s="1347"/>
      <c r="D170" s="438" t="s">
        <v>88</v>
      </c>
      <c r="E170" s="438" t="s">
        <v>89</v>
      </c>
      <c r="F170" s="438" t="s">
        <v>90</v>
      </c>
      <c r="G170" s="439" t="s">
        <v>84</v>
      </c>
      <c r="H170" s="457"/>
    </row>
    <row r="171" spans="1:8">
      <c r="A171" s="458"/>
      <c r="B171" s="467"/>
      <c r="C171" s="468"/>
      <c r="D171" s="459"/>
      <c r="E171" s="430"/>
      <c r="F171" s="440"/>
      <c r="G171" s="440"/>
      <c r="H171" s="460"/>
    </row>
    <row r="172" spans="1:8" ht="15.75" thickBot="1">
      <c r="A172" s="1342"/>
      <c r="B172" s="1343"/>
      <c r="C172" s="1344"/>
      <c r="D172" s="475"/>
      <c r="E172" s="433"/>
      <c r="F172" s="434"/>
      <c r="G172" s="441"/>
      <c r="H172" s="460"/>
    </row>
    <row r="173" spans="1:8" ht="15.75" thickBot="1">
      <c r="A173" s="436"/>
      <c r="B173" s="436"/>
      <c r="C173" s="436"/>
      <c r="D173" s="436"/>
      <c r="E173" s="436"/>
      <c r="F173" s="436"/>
      <c r="G173" s="437" t="s">
        <v>86</v>
      </c>
      <c r="H173" s="466">
        <f>SUM(G171:G172)</f>
        <v>0</v>
      </c>
    </row>
    <row r="174" spans="1:8" ht="15.75" thickBot="1">
      <c r="A174" s="450" t="s">
        <v>96</v>
      </c>
      <c r="B174" s="450"/>
      <c r="C174" s="436"/>
      <c r="D174" s="436"/>
      <c r="E174" s="436"/>
      <c r="F174" s="436"/>
      <c r="G174" s="436"/>
      <c r="H174" s="436"/>
    </row>
    <row r="175" spans="1:8">
      <c r="A175" s="476" t="s">
        <v>97</v>
      </c>
      <c r="B175" s="438"/>
      <c r="C175" s="438" t="s">
        <v>98</v>
      </c>
      <c r="D175" s="438" t="s">
        <v>99</v>
      </c>
      <c r="E175" s="442" t="s">
        <v>100</v>
      </c>
      <c r="F175" s="443" t="s">
        <v>83</v>
      </c>
      <c r="G175" s="444" t="s">
        <v>84</v>
      </c>
      <c r="H175" s="477"/>
    </row>
    <row r="176" spans="1:8">
      <c r="A176" s="478"/>
      <c r="B176" s="468"/>
      <c r="C176" s="479"/>
      <c r="D176" s="480"/>
      <c r="E176" s="440"/>
      <c r="F176" s="440"/>
      <c r="G176" s="445"/>
      <c r="H176" s="451"/>
    </row>
    <row r="177" spans="1:8">
      <c r="A177" s="478"/>
      <c r="B177" s="467"/>
      <c r="C177" s="479"/>
      <c r="D177" s="480"/>
      <c r="E177" s="440"/>
      <c r="F177" s="440"/>
      <c r="G177" s="445"/>
      <c r="H177" s="451"/>
    </row>
    <row r="178" spans="1:8">
      <c r="A178" s="478"/>
      <c r="B178" s="468"/>
      <c r="C178" s="430"/>
      <c r="D178" s="459"/>
      <c r="E178" s="430"/>
      <c r="F178" s="440"/>
      <c r="G178" s="445"/>
      <c r="H178" s="451"/>
    </row>
    <row r="179" spans="1:8">
      <c r="A179" s="478"/>
      <c r="B179" s="468"/>
      <c r="C179" s="430"/>
      <c r="D179" s="459"/>
      <c r="E179" s="430"/>
      <c r="F179" s="440"/>
      <c r="G179" s="445"/>
      <c r="H179" s="451"/>
    </row>
    <row r="180" spans="1:8" ht="15.75" thickBot="1">
      <c r="A180" s="481"/>
      <c r="B180" s="474"/>
      <c r="C180" s="474"/>
      <c r="D180" s="474"/>
      <c r="E180" s="474"/>
      <c r="F180" s="474"/>
      <c r="G180" s="482"/>
      <c r="H180" s="482"/>
    </row>
    <row r="181" spans="1:8" ht="15.75" thickBot="1">
      <c r="A181" s="436"/>
      <c r="B181" s="436"/>
      <c r="C181" s="436"/>
      <c r="D181" s="436"/>
      <c r="E181" s="436"/>
      <c r="F181" s="436"/>
      <c r="G181" s="437" t="s">
        <v>86</v>
      </c>
      <c r="H181" s="466">
        <f>SUM(G176:G180)</f>
        <v>0</v>
      </c>
    </row>
    <row r="182" spans="1:8" ht="15.75" thickBot="1">
      <c r="A182" s="436"/>
      <c r="B182" s="436"/>
      <c r="C182" s="436"/>
      <c r="D182" s="436"/>
      <c r="E182" s="436"/>
      <c r="F182" s="436"/>
      <c r="G182" s="483"/>
      <c r="H182" s="436"/>
    </row>
    <row r="183" spans="1:8" ht="15.75" thickBot="1">
      <c r="A183" s="436"/>
      <c r="B183" s="436"/>
      <c r="C183" s="436"/>
      <c r="D183" s="436"/>
      <c r="E183" s="484" t="s">
        <v>102</v>
      </c>
      <c r="F183" s="485"/>
      <c r="G183" s="485"/>
      <c r="H183" s="466">
        <f>H159+H168+H173+H181</f>
        <v>920903.89945233753</v>
      </c>
    </row>
    <row r="184" spans="1:8" ht="15.75" thickBot="1">
      <c r="A184" s="450" t="s">
        <v>103</v>
      </c>
      <c r="B184" s="450"/>
      <c r="C184" s="436"/>
      <c r="D184" s="436"/>
      <c r="E184" s="436"/>
      <c r="F184" s="436"/>
      <c r="G184" s="436"/>
      <c r="H184" s="436"/>
    </row>
    <row r="185" spans="1:8">
      <c r="A185" s="487" t="s">
        <v>80</v>
      </c>
      <c r="B185" s="488"/>
      <c r="C185" s="488"/>
      <c r="D185" s="488"/>
      <c r="E185" s="489"/>
      <c r="F185" s="490" t="s">
        <v>104</v>
      </c>
      <c r="G185" s="491" t="s">
        <v>105</v>
      </c>
      <c r="H185" s="457"/>
    </row>
    <row r="186" spans="1:8">
      <c r="A186" s="469" t="s">
        <v>106</v>
      </c>
      <c r="B186" s="467"/>
      <c r="C186" s="467"/>
      <c r="D186" s="467"/>
      <c r="E186" s="468"/>
      <c r="F186" s="492">
        <f>PRESUPUESTO!$E$222</f>
        <v>0.109</v>
      </c>
      <c r="G186" s="493">
        <f>+F186*H183</f>
        <v>100378.5250403048</v>
      </c>
      <c r="H186" s="460"/>
    </row>
    <row r="187" spans="1:8">
      <c r="A187" s="469" t="s">
        <v>107</v>
      </c>
      <c r="B187" s="467"/>
      <c r="C187" s="467"/>
      <c r="D187" s="467"/>
      <c r="E187" s="468"/>
      <c r="F187" s="492">
        <f>PRESUPUESTO!$E$223</f>
        <v>0.05</v>
      </c>
      <c r="G187" s="493">
        <f>+F187*H183</f>
        <v>46045.194972616882</v>
      </c>
      <c r="H187" s="460"/>
    </row>
    <row r="188" spans="1:8" ht="15.75" thickBot="1">
      <c r="A188" s="472" t="s">
        <v>108</v>
      </c>
      <c r="B188" s="473"/>
      <c r="C188" s="473"/>
      <c r="D188" s="473"/>
      <c r="E188" s="474"/>
      <c r="F188" s="494">
        <v>0</v>
      </c>
      <c r="G188" s="495">
        <f>+F188*H183</f>
        <v>0</v>
      </c>
      <c r="H188" s="465"/>
    </row>
    <row r="189" spans="1:8" ht="15.75" thickBot="1">
      <c r="A189" s="436"/>
      <c r="B189" s="436"/>
      <c r="C189" s="436"/>
      <c r="D189" s="436"/>
      <c r="E189" s="436"/>
      <c r="F189" s="436"/>
      <c r="G189" s="437" t="s">
        <v>86</v>
      </c>
      <c r="H189" s="496">
        <f>SUM(G186:G188)</f>
        <v>146423.72001292167</v>
      </c>
    </row>
    <row r="190" spans="1:8" ht="15.75" thickBot="1">
      <c r="A190" s="436"/>
      <c r="B190" s="436"/>
      <c r="C190" s="436"/>
      <c r="D190" s="436"/>
      <c r="E190" s="436"/>
      <c r="F190" s="436"/>
      <c r="G190" s="436"/>
      <c r="H190" s="436"/>
    </row>
    <row r="191" spans="1:8" ht="15.75" thickBot="1">
      <c r="C191" s="436"/>
      <c r="D191" s="484" t="s">
        <v>109</v>
      </c>
      <c r="E191" s="485"/>
      <c r="F191" s="485"/>
      <c r="G191" s="485"/>
      <c r="H191" s="466">
        <f>ROUND((H183+H189),0)</f>
        <v>1067328</v>
      </c>
    </row>
    <row r="193" spans="1:8">
      <c r="A193" s="186" t="s">
        <v>77</v>
      </c>
    </row>
    <row r="194" spans="1:8" ht="15.75" thickBot="1"/>
    <row r="195" spans="1:8">
      <c r="A195" s="1348" t="s">
        <v>213</v>
      </c>
      <c r="B195" s="1349"/>
      <c r="C195" s="1350"/>
      <c r="D195" s="448"/>
      <c r="E195" s="448"/>
      <c r="F195" s="448"/>
      <c r="G195" s="448"/>
      <c r="H195" s="449"/>
    </row>
    <row r="196" spans="1:8">
      <c r="A196" s="1351"/>
      <c r="B196" s="1352"/>
      <c r="C196" s="1353"/>
      <c r="D196" s="436"/>
      <c r="E196" s="450" t="s">
        <v>78</v>
      </c>
      <c r="F196" s="436"/>
      <c r="G196" s="436"/>
      <c r="H196" s="451"/>
    </row>
    <row r="197" spans="1:8" ht="15.75" thickBot="1">
      <c r="A197" s="1354"/>
      <c r="B197" s="1355"/>
      <c r="C197" s="1356"/>
      <c r="D197" s="1360"/>
      <c r="E197" s="1361"/>
      <c r="F197" s="1361"/>
      <c r="G197" s="1361"/>
      <c r="H197" s="1362"/>
    </row>
    <row r="198" spans="1:8">
      <c r="A198" s="455"/>
      <c r="B198" s="436"/>
      <c r="C198" s="436"/>
      <c r="D198" s="436"/>
      <c r="E198" s="436"/>
      <c r="F198" s="436"/>
      <c r="G198" s="436"/>
      <c r="H198" s="436"/>
    </row>
    <row r="199" spans="1:8" s="446" customFormat="1" ht="12.75">
      <c r="A199" s="455" t="s">
        <v>1228</v>
      </c>
      <c r="B199" s="456" t="str">
        <f>+PRESUPUESTO!$B$145</f>
        <v>CUBIERTA Y CIELOS FALSOS</v>
      </c>
      <c r="C199" s="436"/>
      <c r="E199" s="456"/>
      <c r="G199" s="456" t="s">
        <v>1123</v>
      </c>
      <c r="H199" s="436" t="str">
        <f>+PRESUPUESTO!$A$151</f>
        <v>8.1.5</v>
      </c>
    </row>
    <row r="200" spans="1:8" s="931" customFormat="1" ht="82.15" customHeight="1">
      <c r="A200" s="928" t="s">
        <v>1122</v>
      </c>
      <c r="B200" s="1375" t="str">
        <f>VLOOKUP(H199,PRESUPUESTO!$A$18:$F$251,2,FALSE)</f>
        <v>Suministro e instalación de listones de madera inmunizada color caramelo.</v>
      </c>
      <c r="C200" s="1375"/>
      <c r="D200" s="1375"/>
      <c r="E200" s="1375"/>
      <c r="F200" s="1375"/>
      <c r="G200" s="929" t="s">
        <v>9</v>
      </c>
      <c r="H200" s="1024" t="str">
        <f>VLOOKUP(H199,PRESUPUESTO!$A$18:$F$251,3,FALSE)</f>
        <v>m2</v>
      </c>
    </row>
    <row r="201" spans="1:8">
      <c r="A201" s="456"/>
      <c r="B201" s="456"/>
      <c r="C201" s="436"/>
      <c r="D201" s="456"/>
      <c r="E201" s="456"/>
      <c r="F201" s="456"/>
      <c r="G201" s="456"/>
      <c r="H201" s="436"/>
    </row>
    <row r="202" spans="1:8" ht="15.75" thickBot="1">
      <c r="A202" s="450" t="s">
        <v>79</v>
      </c>
      <c r="B202" s="450"/>
      <c r="C202" s="436"/>
      <c r="D202" s="436"/>
      <c r="E202" s="436"/>
      <c r="F202" s="436"/>
      <c r="G202" s="436"/>
      <c r="H202" s="436"/>
    </row>
    <row r="203" spans="1:8">
      <c r="A203" s="1345" t="s">
        <v>80</v>
      </c>
      <c r="B203" s="1346"/>
      <c r="C203" s="1347"/>
      <c r="D203" s="438" t="s">
        <v>81</v>
      </c>
      <c r="E203" s="438" t="s">
        <v>82</v>
      </c>
      <c r="F203" s="438" t="s">
        <v>83</v>
      </c>
      <c r="G203" s="439" t="s">
        <v>84</v>
      </c>
      <c r="H203" s="457"/>
    </row>
    <row r="204" spans="1:8">
      <c r="A204" s="1357" t="s">
        <v>85</v>
      </c>
      <c r="B204" s="1358"/>
      <c r="C204" s="1359"/>
      <c r="D204" s="459"/>
      <c r="E204" s="440"/>
      <c r="F204" s="440"/>
      <c r="G204" s="432">
        <f>ROUND(H229*0.05,0)</f>
        <v>4177</v>
      </c>
      <c r="H204" s="460"/>
    </row>
    <row r="205" spans="1:8">
      <c r="A205" s="1357" t="s">
        <v>215</v>
      </c>
      <c r="B205" s="1358"/>
      <c r="C205" s="1359"/>
      <c r="D205" s="461" t="s">
        <v>237</v>
      </c>
      <c r="E205" s="462">
        <v>14500</v>
      </c>
      <c r="F205" s="440">
        <f>2/F224</f>
        <v>0.58823529411764708</v>
      </c>
      <c r="G205" s="432">
        <f>E205*F205</f>
        <v>8529.4117647058829</v>
      </c>
      <c r="H205" s="460"/>
    </row>
    <row r="206" spans="1:8" ht="15.75" thickBot="1">
      <c r="A206" s="1342" t="s">
        <v>703</v>
      </c>
      <c r="B206" s="1343"/>
      <c r="C206" s="1344"/>
      <c r="D206" s="464" t="s">
        <v>680</v>
      </c>
      <c r="E206" s="433">
        <f>12900*1.19</f>
        <v>15351</v>
      </c>
      <c r="F206" s="434">
        <f>+F205</f>
        <v>0.58823529411764708</v>
      </c>
      <c r="G206" s="441">
        <f>E206*F206</f>
        <v>9030</v>
      </c>
      <c r="H206" s="465"/>
    </row>
    <row r="207" spans="1:8" ht="15.75" thickBot="1">
      <c r="A207" s="436"/>
      <c r="B207" s="436"/>
      <c r="C207" s="436"/>
      <c r="D207" s="436"/>
      <c r="E207" s="436"/>
      <c r="F207" s="436"/>
      <c r="G207" s="437" t="s">
        <v>86</v>
      </c>
      <c r="H207" s="466">
        <f>SUM(G204:G206)</f>
        <v>21736.411764705881</v>
      </c>
    </row>
    <row r="208" spans="1:8" ht="15.75" thickBot="1">
      <c r="A208" s="450" t="s">
        <v>87</v>
      </c>
      <c r="B208" s="450"/>
      <c r="C208" s="436"/>
      <c r="D208" s="436"/>
      <c r="E208" s="436"/>
      <c r="F208" s="436"/>
      <c r="G208" s="436"/>
      <c r="H208" s="436"/>
    </row>
    <row r="209" spans="1:9">
      <c r="A209" s="1345" t="s">
        <v>80</v>
      </c>
      <c r="B209" s="1346"/>
      <c r="C209" s="1347"/>
      <c r="D209" s="438" t="s">
        <v>88</v>
      </c>
      <c r="E209" s="438" t="s">
        <v>89</v>
      </c>
      <c r="F209" s="438" t="s">
        <v>90</v>
      </c>
      <c r="G209" s="439" t="s">
        <v>84</v>
      </c>
      <c r="H209" s="457"/>
    </row>
    <row r="210" spans="1:9">
      <c r="A210" s="458" t="s">
        <v>539</v>
      </c>
      <c r="B210" s="467"/>
      <c r="C210" s="468"/>
      <c r="D210" s="459" t="s">
        <v>173</v>
      </c>
      <c r="E210" s="430">
        <f>1.15*20787</f>
        <v>23905.05</v>
      </c>
      <c r="F210" s="470">
        <v>4.8</v>
      </c>
      <c r="G210" s="432">
        <f>E210*F210</f>
        <v>114744.23999999999</v>
      </c>
      <c r="H210" s="460"/>
      <c r="I210" t="s">
        <v>778</v>
      </c>
    </row>
    <row r="211" spans="1:9">
      <c r="A211" s="469" t="s">
        <v>540</v>
      </c>
      <c r="B211" s="467"/>
      <c r="C211" s="468"/>
      <c r="D211" s="459" t="s">
        <v>173</v>
      </c>
      <c r="E211" s="430">
        <f>1.15*63</f>
        <v>72.449999999999989</v>
      </c>
      <c r="F211" s="470">
        <v>18</v>
      </c>
      <c r="G211" s="432">
        <f>E211*F211</f>
        <v>1304.0999999999999</v>
      </c>
      <c r="H211" s="460"/>
    </row>
    <row r="212" spans="1:9">
      <c r="A212" s="469" t="s">
        <v>541</v>
      </c>
      <c r="B212" s="467"/>
      <c r="C212" s="471"/>
      <c r="D212" s="459" t="s">
        <v>173</v>
      </c>
      <c r="E212" s="430">
        <f>1.15*1500</f>
        <v>1724.9999999999998</v>
      </c>
      <c r="F212" s="470">
        <v>0.08</v>
      </c>
      <c r="G212" s="432">
        <f>E212*F212</f>
        <v>137.99999999999997</v>
      </c>
      <c r="H212" s="460"/>
    </row>
    <row r="213" spans="1:9">
      <c r="A213" s="469" t="s">
        <v>777</v>
      </c>
      <c r="B213" s="467"/>
      <c r="C213" s="468"/>
      <c r="D213" s="459" t="s">
        <v>776</v>
      </c>
      <c r="E213" s="430">
        <f>1.15*259000</f>
        <v>297850</v>
      </c>
      <c r="F213" s="440">
        <v>0.05</v>
      </c>
      <c r="G213" s="432">
        <f>E213*F213</f>
        <v>14892.5</v>
      </c>
      <c r="H213" s="460"/>
    </row>
    <row r="214" spans="1:9">
      <c r="A214" s="469" t="s">
        <v>93</v>
      </c>
      <c r="B214" s="467"/>
      <c r="C214" s="471">
        <v>0.05</v>
      </c>
      <c r="D214" s="459"/>
      <c r="E214" s="430"/>
      <c r="F214" s="431"/>
      <c r="G214" s="432">
        <f>SUM(G210:G213)*C214</f>
        <v>6553.942</v>
      </c>
      <c r="H214" s="460"/>
    </row>
    <row r="215" spans="1:9" ht="15.75" thickBot="1">
      <c r="A215" s="472"/>
      <c r="B215" s="473"/>
      <c r="C215" s="474"/>
      <c r="D215" s="464"/>
      <c r="E215" s="433"/>
      <c r="F215" s="434"/>
      <c r="G215" s="435"/>
      <c r="H215" s="465"/>
    </row>
    <row r="216" spans="1:9" ht="15.75" thickBot="1">
      <c r="A216" s="436"/>
      <c r="B216" s="436"/>
      <c r="C216" s="436"/>
      <c r="D216" s="436"/>
      <c r="E216" s="436"/>
      <c r="F216" s="436"/>
      <c r="G216" s="437" t="s">
        <v>86</v>
      </c>
      <c r="H216" s="466">
        <f>SUM(G210:G215)</f>
        <v>137632.78200000001</v>
      </c>
    </row>
    <row r="217" spans="1:9" ht="15.75" thickBot="1">
      <c r="A217" s="450" t="s">
        <v>94</v>
      </c>
      <c r="B217" s="450"/>
      <c r="C217" s="436"/>
      <c r="D217" s="436"/>
      <c r="E217" s="436"/>
      <c r="F217" s="436"/>
      <c r="G217" s="436"/>
      <c r="H217" s="436"/>
    </row>
    <row r="218" spans="1:9">
      <c r="A218" s="1345" t="s">
        <v>95</v>
      </c>
      <c r="B218" s="1346"/>
      <c r="C218" s="1347"/>
      <c r="D218" s="438" t="s">
        <v>88</v>
      </c>
      <c r="E218" s="438" t="s">
        <v>89</v>
      </c>
      <c r="F218" s="438" t="s">
        <v>90</v>
      </c>
      <c r="G218" s="439" t="s">
        <v>84</v>
      </c>
      <c r="H218" s="457"/>
    </row>
    <row r="219" spans="1:9">
      <c r="A219" s="458" t="s">
        <v>327</v>
      </c>
      <c r="B219" s="467"/>
      <c r="C219" s="468"/>
      <c r="D219" s="459" t="s">
        <v>237</v>
      </c>
      <c r="E219" s="430">
        <f>1.15*19200</f>
        <v>22080</v>
      </c>
      <c r="F219" s="440">
        <v>1</v>
      </c>
      <c r="G219" s="432">
        <f>E219*F219</f>
        <v>22080</v>
      </c>
      <c r="H219" s="460"/>
    </row>
    <row r="220" spans="1:9" ht="15.75" thickBot="1">
      <c r="A220" s="1342"/>
      <c r="B220" s="1343"/>
      <c r="C220" s="1344"/>
      <c r="D220" s="475"/>
      <c r="E220" s="433"/>
      <c r="F220" s="434"/>
      <c r="G220" s="441"/>
      <c r="H220" s="460"/>
    </row>
    <row r="221" spans="1:9" ht="15.75" thickBot="1">
      <c r="A221" s="436"/>
      <c r="B221" s="436"/>
      <c r="C221" s="436"/>
      <c r="D221" s="436"/>
      <c r="E221" s="436"/>
      <c r="F221" s="436"/>
      <c r="G221" s="437" t="s">
        <v>86</v>
      </c>
      <c r="H221" s="466">
        <f>SUM(G219:G220)</f>
        <v>22080</v>
      </c>
    </row>
    <row r="222" spans="1:9" ht="15.75" thickBot="1">
      <c r="A222" s="450" t="s">
        <v>96</v>
      </c>
      <c r="B222" s="450"/>
      <c r="C222" s="436"/>
      <c r="D222" s="436"/>
      <c r="E222" s="436"/>
      <c r="F222" s="436"/>
      <c r="G222" s="436"/>
      <c r="H222" s="436"/>
    </row>
    <row r="223" spans="1:9">
      <c r="A223" s="476" t="s">
        <v>97</v>
      </c>
      <c r="B223" s="438"/>
      <c r="C223" s="438" t="s">
        <v>98</v>
      </c>
      <c r="D223" s="438" t="s">
        <v>99</v>
      </c>
      <c r="E223" s="442" t="s">
        <v>100</v>
      </c>
      <c r="F223" s="443" t="s">
        <v>83</v>
      </c>
      <c r="G223" s="444" t="s">
        <v>84</v>
      </c>
      <c r="H223" s="477"/>
    </row>
    <row r="224" spans="1:9">
      <c r="A224" s="478" t="s">
        <v>227</v>
      </c>
      <c r="B224" s="468"/>
      <c r="C224" s="479">
        <v>48800</v>
      </c>
      <c r="D224" s="480">
        <v>1.8786765811965811</v>
      </c>
      <c r="E224" s="440">
        <f>+D224*C224</f>
        <v>91679.417162393162</v>
      </c>
      <c r="F224" s="440">
        <v>3.4</v>
      </c>
      <c r="G224" s="445">
        <f>ROUND(E224/F224,0)</f>
        <v>26965</v>
      </c>
      <c r="H224" s="451"/>
    </row>
    <row r="225" spans="1:8">
      <c r="A225" s="478" t="s">
        <v>101</v>
      </c>
      <c r="B225" s="467"/>
      <c r="C225" s="479">
        <v>102400</v>
      </c>
      <c r="D225" s="480">
        <v>1.8786765811965811</v>
      </c>
      <c r="E225" s="440">
        <f>+D225*C225</f>
        <v>192376.4819145299</v>
      </c>
      <c r="F225" s="440">
        <f>+F224</f>
        <v>3.4</v>
      </c>
      <c r="G225" s="445">
        <f>ROUND(E225/F225,0)</f>
        <v>56581</v>
      </c>
      <c r="H225" s="451"/>
    </row>
    <row r="226" spans="1:8">
      <c r="A226" s="478"/>
      <c r="B226" s="468"/>
      <c r="C226" s="430"/>
      <c r="D226" s="459"/>
      <c r="E226" s="430"/>
      <c r="F226" s="440"/>
      <c r="G226" s="445"/>
      <c r="H226" s="451"/>
    </row>
    <row r="227" spans="1:8">
      <c r="A227" s="478"/>
      <c r="B227" s="468"/>
      <c r="C227" s="430"/>
      <c r="D227" s="459"/>
      <c r="E227" s="430"/>
      <c r="F227" s="440"/>
      <c r="G227" s="445"/>
      <c r="H227" s="451"/>
    </row>
    <row r="228" spans="1:8" ht="15.75" thickBot="1">
      <c r="A228" s="481"/>
      <c r="B228" s="474"/>
      <c r="C228" s="474"/>
      <c r="D228" s="474"/>
      <c r="E228" s="474"/>
      <c r="F228" s="474"/>
      <c r="G228" s="482"/>
      <c r="H228" s="482"/>
    </row>
    <row r="229" spans="1:8" ht="15.75" thickBot="1">
      <c r="A229" s="436"/>
      <c r="B229" s="436"/>
      <c r="C229" s="436"/>
      <c r="D229" s="436"/>
      <c r="E229" s="436"/>
      <c r="F229" s="436"/>
      <c r="G229" s="437" t="s">
        <v>86</v>
      </c>
      <c r="H229" s="466">
        <f>SUM(G224:G228)</f>
        <v>83546</v>
      </c>
    </row>
    <row r="230" spans="1:8" ht="15.75" thickBot="1">
      <c r="A230" s="436"/>
      <c r="B230" s="436"/>
      <c r="C230" s="436"/>
      <c r="D230" s="436"/>
      <c r="E230" s="436"/>
      <c r="F230" s="436"/>
      <c r="G230" s="483"/>
      <c r="H230" s="436"/>
    </row>
    <row r="231" spans="1:8" ht="15.75" thickBot="1">
      <c r="A231" s="436"/>
      <c r="B231" s="436"/>
      <c r="C231" s="436"/>
      <c r="D231" s="436"/>
      <c r="E231" s="484" t="s">
        <v>102</v>
      </c>
      <c r="F231" s="485"/>
      <c r="G231" s="485"/>
      <c r="H231" s="466">
        <f>H207+H216+H221+H229</f>
        <v>264995.19376470591</v>
      </c>
    </row>
    <row r="232" spans="1:8" ht="15.75" thickBot="1">
      <c r="A232" s="450" t="s">
        <v>103</v>
      </c>
      <c r="B232" s="450"/>
      <c r="C232" s="436"/>
      <c r="D232" s="436"/>
      <c r="E232" s="436"/>
      <c r="F232" s="436"/>
      <c r="G232" s="436"/>
      <c r="H232" s="436"/>
    </row>
    <row r="233" spans="1:8">
      <c r="A233" s="487" t="s">
        <v>80</v>
      </c>
      <c r="B233" s="488"/>
      <c r="C233" s="488"/>
      <c r="D233" s="488"/>
      <c r="E233" s="489"/>
      <c r="F233" s="490" t="s">
        <v>104</v>
      </c>
      <c r="G233" s="491" t="s">
        <v>105</v>
      </c>
      <c r="H233" s="457"/>
    </row>
    <row r="234" spans="1:8">
      <c r="A234" s="469" t="s">
        <v>106</v>
      </c>
      <c r="B234" s="467"/>
      <c r="C234" s="467"/>
      <c r="D234" s="467"/>
      <c r="E234" s="468"/>
      <c r="F234" s="492">
        <f>PRESUPUESTO!$E$222</f>
        <v>0.109</v>
      </c>
      <c r="G234" s="493">
        <f>+F234*H231</f>
        <v>28884.476120352945</v>
      </c>
      <c r="H234" s="460"/>
    </row>
    <row r="235" spans="1:8">
      <c r="A235" s="469" t="s">
        <v>107</v>
      </c>
      <c r="B235" s="467"/>
      <c r="C235" s="467"/>
      <c r="D235" s="467"/>
      <c r="E235" s="468"/>
      <c r="F235" s="492">
        <f>PRESUPUESTO!$E$223</f>
        <v>0.05</v>
      </c>
      <c r="G235" s="493">
        <f>+F235*H231</f>
        <v>13249.759688235295</v>
      </c>
      <c r="H235" s="460"/>
    </row>
    <row r="236" spans="1:8" ht="15.75" thickBot="1">
      <c r="A236" s="472" t="s">
        <v>108</v>
      </c>
      <c r="B236" s="473"/>
      <c r="C236" s="473"/>
      <c r="D236" s="473"/>
      <c r="E236" s="474"/>
      <c r="F236" s="494">
        <v>0</v>
      </c>
      <c r="G236" s="495">
        <f>+F236*H231</f>
        <v>0</v>
      </c>
      <c r="H236" s="465"/>
    </row>
    <row r="237" spans="1:8" ht="15.75" thickBot="1">
      <c r="A237" s="436"/>
      <c r="B237" s="436"/>
      <c r="C237" s="436"/>
      <c r="D237" s="436"/>
      <c r="E237" s="436"/>
      <c r="F237" s="436"/>
      <c r="G237" s="437" t="s">
        <v>86</v>
      </c>
      <c r="H237" s="496">
        <f>SUM(G234:G236)</f>
        <v>42134.235808588244</v>
      </c>
    </row>
    <row r="238" spans="1:8" ht="15.75" thickBot="1">
      <c r="A238" s="436"/>
      <c r="B238" s="436"/>
      <c r="C238" s="436"/>
      <c r="D238" s="436"/>
      <c r="E238" s="436"/>
      <c r="F238" s="436"/>
      <c r="G238" s="436"/>
      <c r="H238" s="436"/>
    </row>
    <row r="239" spans="1:8" ht="15.75" thickBot="1">
      <c r="C239" s="436"/>
      <c r="D239" s="484" t="s">
        <v>109</v>
      </c>
      <c r="E239" s="485"/>
      <c r="F239" s="485"/>
      <c r="G239" s="485"/>
      <c r="H239" s="466">
        <f>ROUND((H231+H237),0)</f>
        <v>307129</v>
      </c>
    </row>
    <row r="241" spans="1:8">
      <c r="A241" s="186" t="s">
        <v>77</v>
      </c>
    </row>
    <row r="242" spans="1:8" ht="15.75" thickBot="1"/>
    <row r="243" spans="1:8">
      <c r="A243" s="1348" t="s">
        <v>213</v>
      </c>
      <c r="B243" s="1349"/>
      <c r="C243" s="1350"/>
      <c r="D243" s="448"/>
      <c r="E243" s="448"/>
      <c r="F243" s="448"/>
      <c r="G243" s="448"/>
      <c r="H243" s="449"/>
    </row>
    <row r="244" spans="1:8">
      <c r="A244" s="1351"/>
      <c r="B244" s="1352"/>
      <c r="C244" s="1353"/>
      <c r="D244" s="436"/>
      <c r="E244" s="450" t="s">
        <v>78</v>
      </c>
      <c r="F244" s="436"/>
      <c r="G244" s="436"/>
      <c r="H244" s="451"/>
    </row>
    <row r="245" spans="1:8" ht="15.75" thickBot="1">
      <c r="A245" s="1354"/>
      <c r="B245" s="1355"/>
      <c r="C245" s="1356"/>
      <c r="D245" s="1360"/>
      <c r="E245" s="1361"/>
      <c r="F245" s="1361"/>
      <c r="G245" s="1361"/>
      <c r="H245" s="1362"/>
    </row>
    <row r="246" spans="1:8">
      <c r="A246" s="455"/>
      <c r="B246" s="436"/>
      <c r="C246" s="436"/>
      <c r="D246" s="436"/>
      <c r="E246" s="436"/>
      <c r="F246" s="436"/>
      <c r="G246" s="436"/>
      <c r="H246" s="436"/>
    </row>
    <row r="247" spans="1:8" s="446" customFormat="1" ht="12.75">
      <c r="A247" s="455" t="s">
        <v>1228</v>
      </c>
      <c r="B247" s="456" t="str">
        <f>+PRESUPUESTO!$B$145</f>
        <v>CUBIERTA Y CIELOS FALSOS</v>
      </c>
      <c r="C247" s="436"/>
      <c r="E247" s="456"/>
      <c r="G247" s="456" t="s">
        <v>1123</v>
      </c>
      <c r="H247" s="436" t="str">
        <f>+PRESUPUESTO!$A$153</f>
        <v>8.2.1</v>
      </c>
    </row>
    <row r="248" spans="1:8" s="931" customFormat="1" ht="82.15" customHeight="1">
      <c r="A248" s="928" t="s">
        <v>1122</v>
      </c>
      <c r="B248" s="1375" t="str">
        <f>VLOOKUP(H247,PRESUPUESTO!$A$18:$F$251,2,FALSE)</f>
        <v>Suministro e instalación de superboard para cielo falso en placa 10 mm, incluye perfileria, masilla, cinta papel y aplicación te pintura epoxica 2 manos.</v>
      </c>
      <c r="C248" s="1375"/>
      <c r="D248" s="1375"/>
      <c r="E248" s="1375"/>
      <c r="F248" s="1375"/>
      <c r="G248" s="929" t="s">
        <v>9</v>
      </c>
      <c r="H248" s="1024" t="str">
        <f>VLOOKUP(H247,PRESUPUESTO!$A$18:$F$251,3,FALSE)</f>
        <v>m2</v>
      </c>
    </row>
    <row r="249" spans="1:8">
      <c r="A249" s="456"/>
      <c r="B249" s="456"/>
      <c r="C249" s="436"/>
      <c r="D249" s="456"/>
      <c r="E249" s="456"/>
      <c r="F249" s="456"/>
      <c r="G249" s="456"/>
      <c r="H249" s="436"/>
    </row>
    <row r="250" spans="1:8" ht="15.75" thickBot="1">
      <c r="A250" s="450" t="s">
        <v>79</v>
      </c>
      <c r="B250" s="450"/>
      <c r="C250" s="436"/>
      <c r="D250" s="436"/>
      <c r="E250" s="436"/>
      <c r="F250" s="436"/>
      <c r="G250" s="436"/>
      <c r="H250" s="436"/>
    </row>
    <row r="251" spans="1:8">
      <c r="A251" s="1345" t="s">
        <v>80</v>
      </c>
      <c r="B251" s="1346"/>
      <c r="C251" s="1347"/>
      <c r="D251" s="438" t="s">
        <v>81</v>
      </c>
      <c r="E251" s="438" t="s">
        <v>82</v>
      </c>
      <c r="F251" s="438" t="s">
        <v>83</v>
      </c>
      <c r="G251" s="439" t="s">
        <v>84</v>
      </c>
      <c r="H251" s="457"/>
    </row>
    <row r="252" spans="1:8">
      <c r="A252" s="1357" t="s">
        <v>85</v>
      </c>
      <c r="B252" s="1358"/>
      <c r="C252" s="1359"/>
      <c r="D252" s="459"/>
      <c r="E252" s="440"/>
      <c r="F252" s="440"/>
      <c r="G252" s="432">
        <f>ROUND(H278*0.05,0)</f>
        <v>4734</v>
      </c>
      <c r="H252" s="460"/>
    </row>
    <row r="253" spans="1:8">
      <c r="A253" s="1357" t="s">
        <v>215</v>
      </c>
      <c r="B253" s="1358"/>
      <c r="C253" s="1359"/>
      <c r="D253" s="461" t="s">
        <v>237</v>
      </c>
      <c r="E253" s="462">
        <v>14500</v>
      </c>
      <c r="F253" s="440">
        <f>2/F273</f>
        <v>0.66666666666666663</v>
      </c>
      <c r="G253" s="432">
        <f>E253*F253</f>
        <v>9666.6666666666661</v>
      </c>
      <c r="H253" s="460"/>
    </row>
    <row r="254" spans="1:8" ht="15.75" thickBot="1">
      <c r="A254" s="1342"/>
      <c r="B254" s="1343"/>
      <c r="C254" s="1344"/>
      <c r="D254" s="464"/>
      <c r="E254" s="433"/>
      <c r="F254" s="434"/>
      <c r="G254" s="441"/>
      <c r="H254" s="465"/>
    </row>
    <row r="255" spans="1:8" ht="15.75" thickBot="1">
      <c r="A255" s="436"/>
      <c r="B255" s="436"/>
      <c r="C255" s="436"/>
      <c r="D255" s="436"/>
      <c r="E255" s="436"/>
      <c r="F255" s="436"/>
      <c r="G255" s="437" t="s">
        <v>86</v>
      </c>
      <c r="H255" s="466">
        <f>SUM(G252:G254)</f>
        <v>14400.666666666666</v>
      </c>
    </row>
    <row r="256" spans="1:8" ht="15.75" thickBot="1">
      <c r="A256" s="450" t="s">
        <v>87</v>
      </c>
      <c r="B256" s="450"/>
      <c r="C256" s="436"/>
      <c r="D256" s="436"/>
      <c r="E256" s="436"/>
      <c r="F256" s="436"/>
      <c r="G256" s="436"/>
      <c r="H256" s="436"/>
    </row>
    <row r="257" spans="1:8">
      <c r="A257" s="1345" t="s">
        <v>80</v>
      </c>
      <c r="B257" s="1346"/>
      <c r="C257" s="1347"/>
      <c r="D257" s="438" t="s">
        <v>88</v>
      </c>
      <c r="E257" s="438" t="s">
        <v>89</v>
      </c>
      <c r="F257" s="438" t="s">
        <v>90</v>
      </c>
      <c r="G257" s="439" t="s">
        <v>84</v>
      </c>
      <c r="H257" s="457"/>
    </row>
    <row r="258" spans="1:8">
      <c r="A258" s="458" t="s">
        <v>608</v>
      </c>
      <c r="B258" s="467"/>
      <c r="C258" s="468"/>
      <c r="D258" s="459" t="s">
        <v>173</v>
      </c>
      <c r="E258" s="430">
        <v>103486</v>
      </c>
      <c r="F258" s="470">
        <v>0.24</v>
      </c>
      <c r="G258" s="432">
        <f>E258*F258</f>
        <v>24836.639999999999</v>
      </c>
      <c r="H258" s="460"/>
    </row>
    <row r="259" spans="1:8">
      <c r="A259" s="469" t="s">
        <v>609</v>
      </c>
      <c r="B259" s="467"/>
      <c r="C259" s="468"/>
      <c r="D259" s="459" t="s">
        <v>173</v>
      </c>
      <c r="E259" s="430">
        <f>1.15*13000</f>
        <v>14949.999999999998</v>
      </c>
      <c r="F259" s="470">
        <v>1</v>
      </c>
      <c r="G259" s="432">
        <f>E259*F259</f>
        <v>14949.999999999998</v>
      </c>
      <c r="H259" s="460"/>
    </row>
    <row r="260" spans="1:8">
      <c r="A260" s="469" t="s">
        <v>610</v>
      </c>
      <c r="B260" s="467"/>
      <c r="C260" s="471"/>
      <c r="D260" s="459" t="s">
        <v>173</v>
      </c>
      <c r="E260" s="430">
        <f>1.15*7000</f>
        <v>8049.9999999999991</v>
      </c>
      <c r="F260" s="470">
        <v>0.96</v>
      </c>
      <c r="G260" s="432">
        <f>E260*F260</f>
        <v>7727.9999999999991</v>
      </c>
      <c r="H260" s="460"/>
    </row>
    <row r="261" spans="1:8">
      <c r="A261" s="469" t="s">
        <v>611</v>
      </c>
      <c r="B261" s="467"/>
      <c r="C261" s="468"/>
      <c r="D261" s="459" t="s">
        <v>173</v>
      </c>
      <c r="E261" s="430">
        <f>1.15*53900</f>
        <v>61984.999999999993</v>
      </c>
      <c r="F261" s="440">
        <v>0.05</v>
      </c>
      <c r="G261" s="432">
        <f>E261*F261</f>
        <v>3099.25</v>
      </c>
      <c r="H261" s="460"/>
    </row>
    <row r="262" spans="1:8">
      <c r="A262" s="469" t="s">
        <v>254</v>
      </c>
      <c r="B262" s="467"/>
      <c r="C262" s="468"/>
      <c r="D262" s="459" t="s">
        <v>237</v>
      </c>
      <c r="E262" s="430">
        <f>35000*1.1795*1.15*1.15</f>
        <v>54596.10624999999</v>
      </c>
      <c r="F262" s="440">
        <v>1</v>
      </c>
      <c r="G262" s="432">
        <f>E262*F262</f>
        <v>54596.10624999999</v>
      </c>
      <c r="H262" s="460"/>
    </row>
    <row r="263" spans="1:8">
      <c r="A263" s="469" t="s">
        <v>93</v>
      </c>
      <c r="B263" s="467"/>
      <c r="C263" s="471">
        <v>0.05</v>
      </c>
      <c r="D263" s="459"/>
      <c r="E263" s="430"/>
      <c r="F263" s="431"/>
      <c r="G263" s="432">
        <f>SUM(G258:G262)*C263</f>
        <v>5260.4998125000002</v>
      </c>
      <c r="H263" s="460"/>
    </row>
    <row r="264" spans="1:8" ht="15.75" thickBot="1">
      <c r="A264" s="472"/>
      <c r="B264" s="473"/>
      <c r="C264" s="474"/>
      <c r="D264" s="464"/>
      <c r="E264" s="433"/>
      <c r="F264" s="434"/>
      <c r="G264" s="435"/>
      <c r="H264" s="465"/>
    </row>
    <row r="265" spans="1:8" ht="15.75" thickBot="1">
      <c r="A265" s="436"/>
      <c r="B265" s="436"/>
      <c r="C265" s="436"/>
      <c r="D265" s="436"/>
      <c r="E265" s="436"/>
      <c r="F265" s="436"/>
      <c r="G265" s="437" t="s">
        <v>86</v>
      </c>
      <c r="H265" s="466">
        <f>SUM(G258:G264)</f>
        <v>110470.49606249999</v>
      </c>
    </row>
    <row r="266" spans="1:8" ht="15.75" thickBot="1">
      <c r="A266" s="450" t="s">
        <v>94</v>
      </c>
      <c r="B266" s="450"/>
      <c r="C266" s="436"/>
      <c r="D266" s="436"/>
      <c r="E266" s="436"/>
      <c r="F266" s="436"/>
      <c r="G266" s="436"/>
      <c r="H266" s="436"/>
    </row>
    <row r="267" spans="1:8">
      <c r="A267" s="1345" t="s">
        <v>95</v>
      </c>
      <c r="B267" s="1346"/>
      <c r="C267" s="1347"/>
      <c r="D267" s="438" t="s">
        <v>88</v>
      </c>
      <c r="E267" s="438" t="s">
        <v>89</v>
      </c>
      <c r="F267" s="438" t="s">
        <v>90</v>
      </c>
      <c r="G267" s="439" t="s">
        <v>84</v>
      </c>
      <c r="H267" s="457"/>
    </row>
    <row r="268" spans="1:8">
      <c r="A268" s="458" t="s">
        <v>327</v>
      </c>
      <c r="B268" s="467"/>
      <c r="C268" s="468"/>
      <c r="D268" s="459" t="s">
        <v>237</v>
      </c>
      <c r="E268" s="430">
        <f>1.15*10200</f>
        <v>11730</v>
      </c>
      <c r="F268" s="440">
        <v>1</v>
      </c>
      <c r="G268" s="432">
        <f>E268*F268</f>
        <v>11730</v>
      </c>
      <c r="H268" s="460"/>
    </row>
    <row r="269" spans="1:8" ht="15.75" thickBot="1">
      <c r="A269" s="1342"/>
      <c r="B269" s="1343"/>
      <c r="C269" s="1344"/>
      <c r="D269" s="475"/>
      <c r="E269" s="433"/>
      <c r="F269" s="434"/>
      <c r="G269" s="441"/>
      <c r="H269" s="460"/>
    </row>
    <row r="270" spans="1:8" ht="15.75" thickBot="1">
      <c r="A270" s="436"/>
      <c r="B270" s="436"/>
      <c r="C270" s="436"/>
      <c r="D270" s="436"/>
      <c r="E270" s="436"/>
      <c r="F270" s="436"/>
      <c r="G270" s="437" t="s">
        <v>86</v>
      </c>
      <c r="H270" s="466">
        <f>SUM(G268:G269)</f>
        <v>11730</v>
      </c>
    </row>
    <row r="271" spans="1:8" ht="15.75" thickBot="1">
      <c r="A271" s="450" t="s">
        <v>96</v>
      </c>
      <c r="B271" s="450"/>
      <c r="C271" s="436"/>
      <c r="D271" s="436"/>
      <c r="E271" s="436"/>
      <c r="F271" s="436"/>
      <c r="G271" s="436"/>
      <c r="H271" s="436"/>
    </row>
    <row r="272" spans="1:8">
      <c r="A272" s="476" t="s">
        <v>97</v>
      </c>
      <c r="B272" s="438"/>
      <c r="C272" s="438" t="s">
        <v>98</v>
      </c>
      <c r="D272" s="438" t="s">
        <v>99</v>
      </c>
      <c r="E272" s="442" t="s">
        <v>100</v>
      </c>
      <c r="F272" s="443" t="s">
        <v>83</v>
      </c>
      <c r="G272" s="444" t="s">
        <v>84</v>
      </c>
      <c r="H272" s="477"/>
    </row>
    <row r="273" spans="1:8">
      <c r="A273" s="478" t="s">
        <v>227</v>
      </c>
      <c r="B273" s="468"/>
      <c r="C273" s="479">
        <v>48800</v>
      </c>
      <c r="D273" s="480">
        <v>1.8786765811965811</v>
      </c>
      <c r="E273" s="440">
        <f>+D273*C273</f>
        <v>91679.417162393162</v>
      </c>
      <c r="F273" s="440">
        <v>3</v>
      </c>
      <c r="G273" s="445">
        <f>ROUND(E273/F273,0)</f>
        <v>30560</v>
      </c>
      <c r="H273" s="451"/>
    </row>
    <row r="274" spans="1:8">
      <c r="A274" s="478" t="s">
        <v>101</v>
      </c>
      <c r="B274" s="467"/>
      <c r="C274" s="479">
        <v>102400</v>
      </c>
      <c r="D274" s="480">
        <v>1.8786765811965811</v>
      </c>
      <c r="E274" s="440">
        <f>+D274*C274</f>
        <v>192376.4819145299</v>
      </c>
      <c r="F274" s="440">
        <v>3</v>
      </c>
      <c r="G274" s="445">
        <f>ROUND(E274/F274,0)</f>
        <v>64125</v>
      </c>
      <c r="H274" s="451"/>
    </row>
    <row r="275" spans="1:8">
      <c r="A275" s="478"/>
      <c r="B275" s="468"/>
      <c r="C275" s="430"/>
      <c r="D275" s="459"/>
      <c r="E275" s="430"/>
      <c r="F275" s="440"/>
      <c r="G275" s="445"/>
      <c r="H275" s="451"/>
    </row>
    <row r="276" spans="1:8">
      <c r="A276" s="478"/>
      <c r="B276" s="468"/>
      <c r="C276" s="430"/>
      <c r="D276" s="459"/>
      <c r="E276" s="430"/>
      <c r="F276" s="440"/>
      <c r="G276" s="445"/>
      <c r="H276" s="451"/>
    </row>
    <row r="277" spans="1:8" ht="15.75" thickBot="1">
      <c r="A277" s="481"/>
      <c r="B277" s="474"/>
      <c r="C277" s="474"/>
      <c r="D277" s="474"/>
      <c r="E277" s="474"/>
      <c r="F277" s="474"/>
      <c r="G277" s="482"/>
      <c r="H277" s="482"/>
    </row>
    <row r="278" spans="1:8" ht="15.75" thickBot="1">
      <c r="A278" s="436"/>
      <c r="B278" s="436"/>
      <c r="C278" s="436"/>
      <c r="D278" s="436"/>
      <c r="E278" s="436"/>
      <c r="F278" s="436"/>
      <c r="G278" s="437" t="s">
        <v>86</v>
      </c>
      <c r="H278" s="466">
        <f>SUM(G273:G277)</f>
        <v>94685</v>
      </c>
    </row>
    <row r="279" spans="1:8" ht="15.75" thickBot="1">
      <c r="A279" s="436"/>
      <c r="B279" s="436"/>
      <c r="C279" s="436"/>
      <c r="D279" s="436"/>
      <c r="E279" s="436"/>
      <c r="F279" s="436"/>
      <c r="G279" s="483"/>
      <c r="H279" s="436"/>
    </row>
    <row r="280" spans="1:8" ht="15.75" thickBot="1">
      <c r="A280" s="436"/>
      <c r="B280" s="436"/>
      <c r="C280" s="436"/>
      <c r="D280" s="436"/>
      <c r="E280" s="484" t="s">
        <v>102</v>
      </c>
      <c r="F280" s="485"/>
      <c r="G280" s="485"/>
      <c r="H280" s="466">
        <f>H255+H265+H270+H278</f>
        <v>231286.16272916668</v>
      </c>
    </row>
    <row r="281" spans="1:8" ht="15.75" thickBot="1">
      <c r="A281" s="450" t="s">
        <v>103</v>
      </c>
      <c r="B281" s="450"/>
      <c r="C281" s="436"/>
      <c r="D281" s="436"/>
      <c r="E281" s="436"/>
      <c r="F281" s="436"/>
      <c r="G281" s="436"/>
      <c r="H281" s="436"/>
    </row>
    <row r="282" spans="1:8">
      <c r="A282" s="487" t="s">
        <v>80</v>
      </c>
      <c r="B282" s="488"/>
      <c r="C282" s="488"/>
      <c r="D282" s="488"/>
      <c r="E282" s="489"/>
      <c r="F282" s="490" t="s">
        <v>104</v>
      </c>
      <c r="G282" s="491" t="s">
        <v>105</v>
      </c>
      <c r="H282" s="457"/>
    </row>
    <row r="283" spans="1:8">
      <c r="A283" s="469" t="s">
        <v>106</v>
      </c>
      <c r="B283" s="467"/>
      <c r="C283" s="467"/>
      <c r="D283" s="467"/>
      <c r="E283" s="468"/>
      <c r="F283" s="492">
        <f>PRESUPUESTO!$E$222</f>
        <v>0.109</v>
      </c>
      <c r="G283" s="493">
        <f>+F283*H280</f>
        <v>25210.191737479166</v>
      </c>
      <c r="H283" s="460"/>
    </row>
    <row r="284" spans="1:8">
      <c r="A284" s="469" t="s">
        <v>107</v>
      </c>
      <c r="B284" s="467"/>
      <c r="C284" s="467"/>
      <c r="D284" s="467"/>
      <c r="E284" s="468"/>
      <c r="F284" s="492">
        <f>PRESUPUESTO!$E$223</f>
        <v>0.05</v>
      </c>
      <c r="G284" s="493">
        <f>+F284*H280</f>
        <v>11564.308136458334</v>
      </c>
      <c r="H284" s="460"/>
    </row>
    <row r="285" spans="1:8" ht="15.75" thickBot="1">
      <c r="A285" s="472" t="s">
        <v>108</v>
      </c>
      <c r="B285" s="473"/>
      <c r="C285" s="473"/>
      <c r="D285" s="473"/>
      <c r="E285" s="474"/>
      <c r="F285" s="494">
        <v>0</v>
      </c>
      <c r="G285" s="495">
        <f>+F285*H280</f>
        <v>0</v>
      </c>
      <c r="H285" s="465"/>
    </row>
    <row r="286" spans="1:8" ht="15.75" thickBot="1">
      <c r="A286" s="436"/>
      <c r="B286" s="436"/>
      <c r="C286" s="436"/>
      <c r="D286" s="436"/>
      <c r="E286" s="436"/>
      <c r="F286" s="436"/>
      <c r="G286" s="437" t="s">
        <v>86</v>
      </c>
      <c r="H286" s="496">
        <f>SUM(G283:G285)</f>
        <v>36774.499873937501</v>
      </c>
    </row>
    <row r="287" spans="1:8" ht="15.75" thickBot="1">
      <c r="A287" s="436"/>
      <c r="B287" s="436"/>
      <c r="C287" s="436"/>
      <c r="D287" s="436"/>
      <c r="E287" s="436"/>
      <c r="F287" s="436"/>
      <c r="G287" s="436"/>
      <c r="H287" s="436"/>
    </row>
    <row r="288" spans="1:8" ht="15.75" thickBot="1">
      <c r="C288" s="436"/>
      <c r="D288" s="484" t="s">
        <v>109</v>
      </c>
      <c r="E288" s="485"/>
      <c r="F288" s="485"/>
      <c r="G288" s="485"/>
      <c r="H288" s="466">
        <f>ROUND((H280+H286),0)</f>
        <v>268061</v>
      </c>
    </row>
  </sheetData>
  <mergeCells count="60">
    <mergeCell ref="A220:C220"/>
    <mergeCell ref="A218:C218"/>
    <mergeCell ref="A269:C269"/>
    <mergeCell ref="A243:C245"/>
    <mergeCell ref="A251:C251"/>
    <mergeCell ref="A252:C252"/>
    <mergeCell ref="A253:C253"/>
    <mergeCell ref="B248:F248"/>
    <mergeCell ref="D245:H245"/>
    <mergeCell ref="A257:C257"/>
    <mergeCell ref="A267:C267"/>
    <mergeCell ref="A254:C254"/>
    <mergeCell ref="B152:F152"/>
    <mergeCell ref="A155:C155"/>
    <mergeCell ref="A209:C209"/>
    <mergeCell ref="B200:F200"/>
    <mergeCell ref="A195:C197"/>
    <mergeCell ref="A156:C156"/>
    <mergeCell ref="A157:C157"/>
    <mergeCell ref="D197:H197"/>
    <mergeCell ref="A158:C158"/>
    <mergeCell ref="A161:C161"/>
    <mergeCell ref="A206:C206"/>
    <mergeCell ref="A205:C205"/>
    <mergeCell ref="A170:C170"/>
    <mergeCell ref="A203:C203"/>
    <mergeCell ref="A204:C204"/>
    <mergeCell ref="A172:C172"/>
    <mergeCell ref="A3:C5"/>
    <mergeCell ref="D5:H5"/>
    <mergeCell ref="A11:C11"/>
    <mergeCell ref="A12:C12"/>
    <mergeCell ref="A13:C13"/>
    <mergeCell ref="B8:F8"/>
    <mergeCell ref="A14:C14"/>
    <mergeCell ref="A76:C76"/>
    <mergeCell ref="A17:C17"/>
    <mergeCell ref="A26:C26"/>
    <mergeCell ref="A28:C28"/>
    <mergeCell ref="A51:C53"/>
    <mergeCell ref="A60:C60"/>
    <mergeCell ref="A61:C61"/>
    <mergeCell ref="A62:C62"/>
    <mergeCell ref="A65:C65"/>
    <mergeCell ref="A74:C74"/>
    <mergeCell ref="B56:F56"/>
    <mergeCell ref="D53:H53"/>
    <mergeCell ref="A59:C59"/>
    <mergeCell ref="A99:C101"/>
    <mergeCell ref="D101:H101"/>
    <mergeCell ref="A107:C107"/>
    <mergeCell ref="A108:C108"/>
    <mergeCell ref="A109:C109"/>
    <mergeCell ref="B104:F104"/>
    <mergeCell ref="D149:H149"/>
    <mergeCell ref="A110:C110"/>
    <mergeCell ref="A113:C113"/>
    <mergeCell ref="A122:C122"/>
    <mergeCell ref="A124:C124"/>
    <mergeCell ref="A147:C149"/>
  </mergeCells>
  <hyperlinks>
    <hyperlink ref="A1" r:id="rId1" location="PRESUPUESTO!A1" xr:uid="{00000000-0004-0000-0400-000000000000}"/>
    <hyperlink ref="A49" r:id="rId2" location="PRESUPUESTO!A1" xr:uid="{00000000-0004-0000-0400-000001000000}"/>
    <hyperlink ref="A97" r:id="rId3" location="PRESUPUESTO!A1" xr:uid="{00000000-0004-0000-0400-000002000000}"/>
    <hyperlink ref="A145" r:id="rId4" location="PRESUPUESTO!A1" xr:uid="{00000000-0004-0000-0400-000003000000}"/>
    <hyperlink ref="A193" r:id="rId5" location="PRESUPUESTO!A1" xr:uid="{CC92918C-76BB-4DF0-9D3F-9B2E28DAC6C0}"/>
    <hyperlink ref="A241" r:id="rId6" location="PRESUPUESTO!A1" xr:uid="{1B75081F-BBB9-4A9A-8FF1-7FA71518C06A}"/>
  </hyperlinks>
  <pageMargins left="0.7" right="0.7" top="0.75" bottom="0.75" header="0.3" footer="0.3"/>
  <pageSetup paperSize="9" scale="94" orientation="portrait" horizontalDpi="4294967295" verticalDpi="4294967295" r:id="rId7"/>
  <rowBreaks count="5" manualBreakCount="5">
    <brk id="48" max="16383" man="1"/>
    <brk id="96" max="16383" man="1"/>
    <brk id="144" max="16383" man="1"/>
    <brk id="192" max="16383" man="1"/>
    <brk id="240"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75"/>
  <sheetViews>
    <sheetView view="pageBreakPreview" topLeftCell="A295" zoomScale="130" zoomScaleNormal="100" zoomScaleSheetLayoutView="130" workbookViewId="0">
      <selection activeCell="B296" sqref="B296:F296"/>
    </sheetView>
  </sheetViews>
  <sheetFormatPr baseColWidth="10" defaultRowHeight="12.75"/>
  <cols>
    <col min="1" max="1" width="11.42578125" style="446"/>
    <col min="2" max="2" width="10.42578125" style="446" customWidth="1"/>
    <col min="3" max="3" width="13" style="446" customWidth="1"/>
    <col min="4" max="8" width="11.42578125" style="446"/>
    <col min="9" max="9" width="13" style="446" bestFit="1" customWidth="1"/>
    <col min="10" max="12" width="11.42578125" style="446"/>
    <col min="13" max="13" width="15.42578125" style="446" bestFit="1" customWidth="1"/>
    <col min="14" max="14" width="13.85546875" style="446" bestFit="1" customWidth="1"/>
    <col min="15" max="15" width="11.42578125" style="446"/>
    <col min="16" max="16" width="15.28515625" style="446" customWidth="1"/>
    <col min="17" max="259" width="11.42578125" style="446"/>
    <col min="260" max="260" width="10.42578125" style="446" customWidth="1"/>
    <col min="261" max="261" width="13" style="446" customWidth="1"/>
    <col min="262" max="515" width="11.42578125" style="446"/>
    <col min="516" max="516" width="10.42578125" style="446" customWidth="1"/>
    <col min="517" max="517" width="13" style="446" customWidth="1"/>
    <col min="518" max="771" width="11.42578125" style="446"/>
    <col min="772" max="772" width="10.42578125" style="446" customWidth="1"/>
    <col min="773" max="773" width="13" style="446" customWidth="1"/>
    <col min="774" max="1027" width="11.42578125" style="446"/>
    <col min="1028" max="1028" width="10.42578125" style="446" customWidth="1"/>
    <col min="1029" max="1029" width="13" style="446" customWidth="1"/>
    <col min="1030" max="1283" width="11.42578125" style="446"/>
    <col min="1284" max="1284" width="10.42578125" style="446" customWidth="1"/>
    <col min="1285" max="1285" width="13" style="446" customWidth="1"/>
    <col min="1286" max="1539" width="11.42578125" style="446"/>
    <col min="1540" max="1540" width="10.42578125" style="446" customWidth="1"/>
    <col min="1541" max="1541" width="13" style="446" customWidth="1"/>
    <col min="1542" max="1795" width="11.42578125" style="446"/>
    <col min="1796" max="1796" width="10.42578125" style="446" customWidth="1"/>
    <col min="1797" max="1797" width="13" style="446" customWidth="1"/>
    <col min="1798" max="2051" width="11.42578125" style="446"/>
    <col min="2052" max="2052" width="10.42578125" style="446" customWidth="1"/>
    <col min="2053" max="2053" width="13" style="446" customWidth="1"/>
    <col min="2054" max="2307" width="11.42578125" style="446"/>
    <col min="2308" max="2308" width="10.42578125" style="446" customWidth="1"/>
    <col min="2309" max="2309" width="13" style="446" customWidth="1"/>
    <col min="2310" max="2563" width="11.42578125" style="446"/>
    <col min="2564" max="2564" width="10.42578125" style="446" customWidth="1"/>
    <col min="2565" max="2565" width="13" style="446" customWidth="1"/>
    <col min="2566" max="2819" width="11.42578125" style="446"/>
    <col min="2820" max="2820" width="10.42578125" style="446" customWidth="1"/>
    <col min="2821" max="2821" width="13" style="446" customWidth="1"/>
    <col min="2822" max="3075" width="11.42578125" style="446"/>
    <col min="3076" max="3076" width="10.42578125" style="446" customWidth="1"/>
    <col min="3077" max="3077" width="13" style="446" customWidth="1"/>
    <col min="3078" max="3331" width="11.42578125" style="446"/>
    <col min="3332" max="3332" width="10.42578125" style="446" customWidth="1"/>
    <col min="3333" max="3333" width="13" style="446" customWidth="1"/>
    <col min="3334" max="3587" width="11.42578125" style="446"/>
    <col min="3588" max="3588" width="10.42578125" style="446" customWidth="1"/>
    <col min="3589" max="3589" width="13" style="446" customWidth="1"/>
    <col min="3590" max="3843" width="11.42578125" style="446"/>
    <col min="3844" max="3844" width="10.42578125" style="446" customWidth="1"/>
    <col min="3845" max="3845" width="13" style="446" customWidth="1"/>
    <col min="3846" max="4099" width="11.42578125" style="446"/>
    <col min="4100" max="4100" width="10.42578125" style="446" customWidth="1"/>
    <col min="4101" max="4101" width="13" style="446" customWidth="1"/>
    <col min="4102" max="4355" width="11.42578125" style="446"/>
    <col min="4356" max="4356" width="10.42578125" style="446" customWidth="1"/>
    <col min="4357" max="4357" width="13" style="446" customWidth="1"/>
    <col min="4358" max="4611" width="11.42578125" style="446"/>
    <col min="4612" max="4612" width="10.42578125" style="446" customWidth="1"/>
    <col min="4613" max="4613" width="13" style="446" customWidth="1"/>
    <col min="4614" max="4867" width="11.42578125" style="446"/>
    <col min="4868" max="4868" width="10.42578125" style="446" customWidth="1"/>
    <col min="4869" max="4869" width="13" style="446" customWidth="1"/>
    <col min="4870" max="5123" width="11.42578125" style="446"/>
    <col min="5124" max="5124" width="10.42578125" style="446" customWidth="1"/>
    <col min="5125" max="5125" width="13" style="446" customWidth="1"/>
    <col min="5126" max="5379" width="11.42578125" style="446"/>
    <col min="5380" max="5380" width="10.42578125" style="446" customWidth="1"/>
    <col min="5381" max="5381" width="13" style="446" customWidth="1"/>
    <col min="5382" max="5635" width="11.42578125" style="446"/>
    <col min="5636" max="5636" width="10.42578125" style="446" customWidth="1"/>
    <col min="5637" max="5637" width="13" style="446" customWidth="1"/>
    <col min="5638" max="5891" width="11.42578125" style="446"/>
    <col min="5892" max="5892" width="10.42578125" style="446" customWidth="1"/>
    <col min="5893" max="5893" width="13" style="446" customWidth="1"/>
    <col min="5894" max="6147" width="11.42578125" style="446"/>
    <col min="6148" max="6148" width="10.42578125" style="446" customWidth="1"/>
    <col min="6149" max="6149" width="13" style="446" customWidth="1"/>
    <col min="6150" max="6403" width="11.42578125" style="446"/>
    <col min="6404" max="6404" width="10.42578125" style="446" customWidth="1"/>
    <col min="6405" max="6405" width="13" style="446" customWidth="1"/>
    <col min="6406" max="6659" width="11.42578125" style="446"/>
    <col min="6660" max="6660" width="10.42578125" style="446" customWidth="1"/>
    <col min="6661" max="6661" width="13" style="446" customWidth="1"/>
    <col min="6662" max="6915" width="11.42578125" style="446"/>
    <col min="6916" max="6916" width="10.42578125" style="446" customWidth="1"/>
    <col min="6917" max="6917" width="13" style="446" customWidth="1"/>
    <col min="6918" max="7171" width="11.42578125" style="446"/>
    <col min="7172" max="7172" width="10.42578125" style="446" customWidth="1"/>
    <col min="7173" max="7173" width="13" style="446" customWidth="1"/>
    <col min="7174" max="7427" width="11.42578125" style="446"/>
    <col min="7428" max="7428" width="10.42578125" style="446" customWidth="1"/>
    <col min="7429" max="7429" width="13" style="446" customWidth="1"/>
    <col min="7430" max="7683" width="11.42578125" style="446"/>
    <col min="7684" max="7684" width="10.42578125" style="446" customWidth="1"/>
    <col min="7685" max="7685" width="13" style="446" customWidth="1"/>
    <col min="7686" max="7939" width="11.42578125" style="446"/>
    <col min="7940" max="7940" width="10.42578125" style="446" customWidth="1"/>
    <col min="7941" max="7941" width="13" style="446" customWidth="1"/>
    <col min="7942" max="8195" width="11.42578125" style="446"/>
    <col min="8196" max="8196" width="10.42578125" style="446" customWidth="1"/>
    <col min="8197" max="8197" width="13" style="446" customWidth="1"/>
    <col min="8198" max="8451" width="11.42578125" style="446"/>
    <col min="8452" max="8452" width="10.42578125" style="446" customWidth="1"/>
    <col min="8453" max="8453" width="13" style="446" customWidth="1"/>
    <col min="8454" max="8707" width="11.42578125" style="446"/>
    <col min="8708" max="8708" width="10.42578125" style="446" customWidth="1"/>
    <col min="8709" max="8709" width="13" style="446" customWidth="1"/>
    <col min="8710" max="8963" width="11.42578125" style="446"/>
    <col min="8964" max="8964" width="10.42578125" style="446" customWidth="1"/>
    <col min="8965" max="8965" width="13" style="446" customWidth="1"/>
    <col min="8966" max="9219" width="11.42578125" style="446"/>
    <col min="9220" max="9220" width="10.42578125" style="446" customWidth="1"/>
    <col min="9221" max="9221" width="13" style="446" customWidth="1"/>
    <col min="9222" max="9475" width="11.42578125" style="446"/>
    <col min="9476" max="9476" width="10.42578125" style="446" customWidth="1"/>
    <col min="9477" max="9477" width="13" style="446" customWidth="1"/>
    <col min="9478" max="9731" width="11.42578125" style="446"/>
    <col min="9732" max="9732" width="10.42578125" style="446" customWidth="1"/>
    <col min="9733" max="9733" width="13" style="446" customWidth="1"/>
    <col min="9734" max="9987" width="11.42578125" style="446"/>
    <col min="9988" max="9988" width="10.42578125" style="446" customWidth="1"/>
    <col min="9989" max="9989" width="13" style="446" customWidth="1"/>
    <col min="9990" max="10243" width="11.42578125" style="446"/>
    <col min="10244" max="10244" width="10.42578125" style="446" customWidth="1"/>
    <col min="10245" max="10245" width="13" style="446" customWidth="1"/>
    <col min="10246" max="10499" width="11.42578125" style="446"/>
    <col min="10500" max="10500" width="10.42578125" style="446" customWidth="1"/>
    <col min="10501" max="10501" width="13" style="446" customWidth="1"/>
    <col min="10502" max="10755" width="11.42578125" style="446"/>
    <col min="10756" max="10756" width="10.42578125" style="446" customWidth="1"/>
    <col min="10757" max="10757" width="13" style="446" customWidth="1"/>
    <col min="10758" max="11011" width="11.42578125" style="446"/>
    <col min="11012" max="11012" width="10.42578125" style="446" customWidth="1"/>
    <col min="11013" max="11013" width="13" style="446" customWidth="1"/>
    <col min="11014" max="11267" width="11.42578125" style="446"/>
    <col min="11268" max="11268" width="10.42578125" style="446" customWidth="1"/>
    <col min="11269" max="11269" width="13" style="446" customWidth="1"/>
    <col min="11270" max="11523" width="11.42578125" style="446"/>
    <col min="11524" max="11524" width="10.42578125" style="446" customWidth="1"/>
    <col min="11525" max="11525" width="13" style="446" customWidth="1"/>
    <col min="11526" max="11779" width="11.42578125" style="446"/>
    <col min="11780" max="11780" width="10.42578125" style="446" customWidth="1"/>
    <col min="11781" max="11781" width="13" style="446" customWidth="1"/>
    <col min="11782" max="12035" width="11.42578125" style="446"/>
    <col min="12036" max="12036" width="10.42578125" style="446" customWidth="1"/>
    <col min="12037" max="12037" width="13" style="446" customWidth="1"/>
    <col min="12038" max="12291" width="11.42578125" style="446"/>
    <col min="12292" max="12292" width="10.42578125" style="446" customWidth="1"/>
    <col min="12293" max="12293" width="13" style="446" customWidth="1"/>
    <col min="12294" max="12547" width="11.42578125" style="446"/>
    <col min="12548" max="12548" width="10.42578125" style="446" customWidth="1"/>
    <col min="12549" max="12549" width="13" style="446" customWidth="1"/>
    <col min="12550" max="12803" width="11.42578125" style="446"/>
    <col min="12804" max="12804" width="10.42578125" style="446" customWidth="1"/>
    <col min="12805" max="12805" width="13" style="446" customWidth="1"/>
    <col min="12806" max="13059" width="11.42578125" style="446"/>
    <col min="13060" max="13060" width="10.42578125" style="446" customWidth="1"/>
    <col min="13061" max="13061" width="13" style="446" customWidth="1"/>
    <col min="13062" max="13315" width="11.42578125" style="446"/>
    <col min="13316" max="13316" width="10.42578125" style="446" customWidth="1"/>
    <col min="13317" max="13317" width="13" style="446" customWidth="1"/>
    <col min="13318" max="13571" width="11.42578125" style="446"/>
    <col min="13572" max="13572" width="10.42578125" style="446" customWidth="1"/>
    <col min="13573" max="13573" width="13" style="446" customWidth="1"/>
    <col min="13574" max="13827" width="11.42578125" style="446"/>
    <col min="13828" max="13828" width="10.42578125" style="446" customWidth="1"/>
    <col min="13829" max="13829" width="13" style="446" customWidth="1"/>
    <col min="13830" max="14083" width="11.42578125" style="446"/>
    <col min="14084" max="14084" width="10.42578125" style="446" customWidth="1"/>
    <col min="14085" max="14085" width="13" style="446" customWidth="1"/>
    <col min="14086" max="14339" width="11.42578125" style="446"/>
    <col min="14340" max="14340" width="10.42578125" style="446" customWidth="1"/>
    <col min="14341" max="14341" width="13" style="446" customWidth="1"/>
    <col min="14342" max="14595" width="11.42578125" style="446"/>
    <col min="14596" max="14596" width="10.42578125" style="446" customWidth="1"/>
    <col min="14597" max="14597" width="13" style="446" customWidth="1"/>
    <col min="14598" max="14851" width="11.42578125" style="446"/>
    <col min="14852" max="14852" width="10.42578125" style="446" customWidth="1"/>
    <col min="14853" max="14853" width="13" style="446" customWidth="1"/>
    <col min="14854" max="15107" width="11.42578125" style="446"/>
    <col min="15108" max="15108" width="10.42578125" style="446" customWidth="1"/>
    <col min="15109" max="15109" width="13" style="446" customWidth="1"/>
    <col min="15110" max="15363" width="11.42578125" style="446"/>
    <col min="15364" max="15364" width="10.42578125" style="446" customWidth="1"/>
    <col min="15365" max="15365" width="13" style="446" customWidth="1"/>
    <col min="15366" max="15619" width="11.42578125" style="446"/>
    <col min="15620" max="15620" width="10.42578125" style="446" customWidth="1"/>
    <col min="15621" max="15621" width="13" style="446" customWidth="1"/>
    <col min="15622" max="15875" width="11.42578125" style="446"/>
    <col min="15876" max="15876" width="10.42578125" style="446" customWidth="1"/>
    <col min="15877" max="15877" width="13" style="446" customWidth="1"/>
    <col min="15878" max="16131" width="11.42578125" style="446"/>
    <col min="16132" max="16132" width="10.42578125" style="446" customWidth="1"/>
    <col min="16133" max="16133" width="13" style="446" customWidth="1"/>
    <col min="16134" max="16384" width="11.42578125" style="446"/>
  </cols>
  <sheetData>
    <row r="1" spans="1:11" ht="15">
      <c r="A1" s="186" t="s">
        <v>77</v>
      </c>
    </row>
    <row r="2" spans="1:11" ht="13.5" thickBot="1"/>
    <row r="3" spans="1:11" ht="15" customHeight="1">
      <c r="A3" s="1348" t="s">
        <v>213</v>
      </c>
      <c r="B3" s="1349"/>
      <c r="C3" s="1350"/>
      <c r="D3" s="448"/>
      <c r="E3" s="448"/>
      <c r="F3" s="448"/>
      <c r="G3" s="448"/>
      <c r="H3" s="449"/>
    </row>
    <row r="4" spans="1:11" ht="15" customHeight="1">
      <c r="A4" s="1351"/>
      <c r="B4" s="1352"/>
      <c r="C4" s="1353"/>
      <c r="D4" s="436"/>
      <c r="E4" s="450" t="s">
        <v>78</v>
      </c>
      <c r="F4" s="436"/>
      <c r="G4" s="436"/>
      <c r="H4" s="451"/>
      <c r="I4" s="436"/>
      <c r="J4" s="436"/>
    </row>
    <row r="5" spans="1:11" ht="15.75" customHeight="1" thickBot="1">
      <c r="A5" s="1354"/>
      <c r="B5" s="1355"/>
      <c r="C5" s="1356"/>
      <c r="D5" s="1360"/>
      <c r="E5" s="1361"/>
      <c r="F5" s="1361"/>
      <c r="G5" s="1361"/>
      <c r="H5" s="1362"/>
      <c r="I5" s="483"/>
      <c r="J5" s="483"/>
    </row>
    <row r="6" spans="1:11">
      <c r="A6" s="455"/>
      <c r="B6" s="436"/>
      <c r="C6" s="436"/>
      <c r="D6" s="436"/>
      <c r="E6" s="436"/>
      <c r="F6" s="436"/>
      <c r="G6" s="436"/>
      <c r="H6" s="436"/>
      <c r="I6" s="436"/>
      <c r="J6" s="436"/>
    </row>
    <row r="7" spans="1:11">
      <c r="A7" s="455" t="s">
        <v>1228</v>
      </c>
      <c r="B7" s="456" t="str">
        <f>+PRESUPUESTO!$B$156</f>
        <v>PISOS Y ENCHAPES</v>
      </c>
      <c r="C7" s="436"/>
      <c r="E7" s="456"/>
      <c r="G7" s="456" t="s">
        <v>1123</v>
      </c>
      <c r="H7" s="436" t="str">
        <f>+PRESUPUESTO!$A$158</f>
        <v>9.1.1</v>
      </c>
    </row>
    <row r="8" spans="1:11" s="931" customFormat="1" ht="57" customHeight="1">
      <c r="A8" s="928" t="s">
        <v>1122</v>
      </c>
      <c r="B8" s="1375" t="str">
        <f>VLOOKUP(H7,PRESUPUESTO!$A$18:$F$251,2,FALSE)</f>
        <v>Suministro e instalación de enchape de baldosa perlato pulido y sellado de 40x40x1 cm sobre la cara superior de banca en concreto, incluye pegacor con latex para exteriores y junta con polvillo color de acuerdo a la baldosa con separación de 2 mm.</v>
      </c>
      <c r="C8" s="1375"/>
      <c r="D8" s="1375"/>
      <c r="E8" s="1375"/>
      <c r="F8" s="1375"/>
      <c r="G8" s="929" t="s">
        <v>9</v>
      </c>
      <c r="H8" s="1024" t="str">
        <f>VLOOKUP(H7,PRESUPUESTO!$A$18:$F$251,3,FALSE)</f>
        <v>m2</v>
      </c>
    </row>
    <row r="9" spans="1:11">
      <c r="A9" s="562"/>
      <c r="B9" s="562"/>
      <c r="C9" s="562"/>
      <c r="D9" s="562"/>
      <c r="E9" s="562"/>
      <c r="F9" s="562"/>
      <c r="G9" s="456"/>
      <c r="H9" s="436"/>
      <c r="I9" s="436"/>
      <c r="J9" s="436"/>
    </row>
    <row r="10" spans="1:11">
      <c r="A10" s="456"/>
      <c r="B10" s="456"/>
      <c r="C10" s="436"/>
      <c r="D10" s="456"/>
      <c r="E10" s="456"/>
      <c r="F10" s="456"/>
      <c r="G10" s="456"/>
      <c r="H10" s="436"/>
      <c r="I10" s="436"/>
      <c r="J10" s="436"/>
    </row>
    <row r="11" spans="1:11" ht="13.5" thickBot="1">
      <c r="A11" s="450" t="s">
        <v>79</v>
      </c>
      <c r="B11" s="450"/>
      <c r="C11" s="436"/>
      <c r="D11" s="436"/>
      <c r="E11" s="436"/>
      <c r="F11" s="436"/>
      <c r="G11" s="436"/>
      <c r="H11" s="436"/>
      <c r="I11" s="436"/>
      <c r="J11" s="436"/>
    </row>
    <row r="12" spans="1:11">
      <c r="A12" s="1345" t="s">
        <v>80</v>
      </c>
      <c r="B12" s="1346"/>
      <c r="C12" s="1347"/>
      <c r="D12" s="438" t="s">
        <v>81</v>
      </c>
      <c r="E12" s="438" t="s">
        <v>82</v>
      </c>
      <c r="F12" s="438" t="s">
        <v>83</v>
      </c>
      <c r="G12" s="439" t="s">
        <v>84</v>
      </c>
      <c r="H12" s="457"/>
      <c r="I12" s="436"/>
      <c r="J12" s="436"/>
      <c r="K12" s="548"/>
    </row>
    <row r="13" spans="1:11">
      <c r="A13" s="1357" t="s">
        <v>85</v>
      </c>
      <c r="B13" s="1358"/>
      <c r="C13" s="1359"/>
      <c r="D13" s="459"/>
      <c r="E13" s="440"/>
      <c r="F13" s="440"/>
      <c r="G13" s="432">
        <f>ROUND(H37*0.05,0)</f>
        <v>1824</v>
      </c>
      <c r="H13" s="460"/>
      <c r="I13" s="436"/>
      <c r="J13" s="436"/>
    </row>
    <row r="14" spans="1:11">
      <c r="A14" s="1357" t="s">
        <v>239</v>
      </c>
      <c r="B14" s="1358"/>
      <c r="C14" s="1359"/>
      <c r="D14" s="461" t="s">
        <v>263</v>
      </c>
      <c r="E14" s="462">
        <v>41000</v>
      </c>
      <c r="F14" s="440">
        <f>1/F33</f>
        <v>0.15384615384615385</v>
      </c>
      <c r="G14" s="432">
        <f>E14*F14</f>
        <v>6307.6923076923076</v>
      </c>
      <c r="H14" s="460"/>
      <c r="I14" s="436"/>
      <c r="J14" s="436"/>
    </row>
    <row r="15" spans="1:11" ht="13.5" thickBot="1">
      <c r="A15" s="1342"/>
      <c r="B15" s="1343"/>
      <c r="C15" s="1344"/>
      <c r="D15" s="464"/>
      <c r="E15" s="433"/>
      <c r="F15" s="434"/>
      <c r="G15" s="435"/>
      <c r="H15" s="465"/>
      <c r="I15" s="436"/>
      <c r="J15" s="436"/>
    </row>
    <row r="16" spans="1:11" ht="13.5" thickBot="1">
      <c r="A16" s="436"/>
      <c r="B16" s="436"/>
      <c r="C16" s="436"/>
      <c r="D16" s="436"/>
      <c r="E16" s="436"/>
      <c r="F16" s="436"/>
      <c r="G16" s="437" t="s">
        <v>86</v>
      </c>
      <c r="H16" s="466">
        <f>SUM(G13:G15)</f>
        <v>8131.6923076923076</v>
      </c>
      <c r="I16" s="541"/>
      <c r="J16" s="541"/>
    </row>
    <row r="17" spans="1:10" ht="13.5" thickBot="1">
      <c r="A17" s="450" t="s">
        <v>87</v>
      </c>
      <c r="B17" s="450"/>
      <c r="C17" s="436"/>
      <c r="D17" s="436"/>
      <c r="E17" s="436"/>
      <c r="F17" s="436"/>
      <c r="G17" s="436"/>
      <c r="H17" s="436"/>
      <c r="I17" s="436"/>
      <c r="J17" s="436"/>
    </row>
    <row r="18" spans="1:10">
      <c r="A18" s="1345" t="s">
        <v>80</v>
      </c>
      <c r="B18" s="1346"/>
      <c r="C18" s="1347"/>
      <c r="D18" s="438" t="s">
        <v>88</v>
      </c>
      <c r="E18" s="438" t="s">
        <v>89</v>
      </c>
      <c r="F18" s="438" t="s">
        <v>90</v>
      </c>
      <c r="G18" s="439" t="s">
        <v>84</v>
      </c>
      <c r="H18" s="457"/>
      <c r="I18" s="436"/>
      <c r="J18" s="436"/>
    </row>
    <row r="19" spans="1:10" ht="15">
      <c r="A19" s="458" t="s">
        <v>236</v>
      </c>
      <c r="B19" s="467"/>
      <c r="C19" s="468"/>
      <c r="D19" s="459" t="s">
        <v>237</v>
      </c>
      <c r="E19" s="430">
        <f>123000*1.19</f>
        <v>146370</v>
      </c>
      <c r="F19" s="440">
        <v>1</v>
      </c>
      <c r="G19" s="432">
        <f>ROUND(F19*E19,0)</f>
        <v>146370</v>
      </c>
      <c r="H19" s="460"/>
      <c r="I19" s="186"/>
    </row>
    <row r="20" spans="1:10">
      <c r="A20" s="469" t="s">
        <v>701</v>
      </c>
      <c r="B20" s="467"/>
      <c r="C20" s="468"/>
      <c r="D20" s="459" t="s">
        <v>241</v>
      </c>
      <c r="E20" s="430">
        <v>154900</v>
      </c>
      <c r="F20" s="431">
        <f>(1/25)*7</f>
        <v>0.28000000000000003</v>
      </c>
      <c r="G20" s="432">
        <f>ROUND(F20*E20,0)</f>
        <v>43372</v>
      </c>
      <c r="H20" s="460"/>
      <c r="I20" s="436"/>
      <c r="J20" s="436"/>
    </row>
    <row r="21" spans="1:10">
      <c r="A21" s="469" t="s">
        <v>238</v>
      </c>
      <c r="B21" s="467"/>
      <c r="C21" s="468"/>
      <c r="D21" s="459" t="s">
        <v>241</v>
      </c>
      <c r="E21" s="430">
        <f>36900/2</f>
        <v>18450</v>
      </c>
      <c r="F21" s="431">
        <v>0.24</v>
      </c>
      <c r="G21" s="432">
        <f>ROUND(F21*E21,0)</f>
        <v>4428</v>
      </c>
      <c r="H21" s="460"/>
      <c r="I21" s="436">
        <f>36900/2</f>
        <v>18450</v>
      </c>
      <c r="J21" s="436">
        <f>+I21*0.41</f>
        <v>7564.5</v>
      </c>
    </row>
    <row r="22" spans="1:10">
      <c r="A22" s="469" t="s">
        <v>351</v>
      </c>
      <c r="B22" s="467"/>
      <c r="C22" s="468"/>
      <c r="D22" s="459" t="s">
        <v>237</v>
      </c>
      <c r="E22" s="430">
        <v>32000</v>
      </c>
      <c r="F22" s="431">
        <v>1</v>
      </c>
      <c r="G22" s="432">
        <f>ROUND(F22*E22,0)</f>
        <v>32000</v>
      </c>
      <c r="H22" s="460"/>
      <c r="I22" s="436"/>
      <c r="J22" s="436"/>
    </row>
    <row r="23" spans="1:10">
      <c r="A23" s="469" t="s">
        <v>93</v>
      </c>
      <c r="B23" s="467"/>
      <c r="C23" s="471">
        <v>0.05</v>
      </c>
      <c r="D23" s="459"/>
      <c r="E23" s="430"/>
      <c r="F23" s="431"/>
      <c r="G23" s="432">
        <f>SUM(G19:G21)*C23</f>
        <v>9708.5</v>
      </c>
      <c r="H23" s="460"/>
      <c r="I23" s="436"/>
      <c r="J23" s="436"/>
    </row>
    <row r="24" spans="1:10" ht="13.5" thickBot="1">
      <c r="A24" s="472"/>
      <c r="B24" s="473"/>
      <c r="C24" s="474"/>
      <c r="D24" s="464"/>
      <c r="E24" s="433"/>
      <c r="F24" s="434"/>
      <c r="G24" s="435"/>
      <c r="H24" s="465"/>
      <c r="I24" s="436"/>
      <c r="J24" s="436"/>
    </row>
    <row r="25" spans="1:10" ht="13.5" thickBot="1">
      <c r="A25" s="436"/>
      <c r="B25" s="436"/>
      <c r="C25" s="436"/>
      <c r="D25" s="436"/>
      <c r="E25" s="436"/>
      <c r="F25" s="436"/>
      <c r="G25" s="437" t="s">
        <v>86</v>
      </c>
      <c r="H25" s="466">
        <f>SUM(G19:G24)</f>
        <v>235878.5</v>
      </c>
      <c r="I25" s="541"/>
      <c r="J25" s="541"/>
    </row>
    <row r="26" spans="1:10" ht="13.5" thickBot="1">
      <c r="A26" s="450" t="s">
        <v>94</v>
      </c>
      <c r="B26" s="450"/>
      <c r="C26" s="436"/>
      <c r="D26" s="436"/>
      <c r="E26" s="436"/>
      <c r="F26" s="436"/>
      <c r="G26" s="436"/>
      <c r="H26" s="436"/>
      <c r="I26" s="436"/>
      <c r="J26" s="436"/>
    </row>
    <row r="27" spans="1:10">
      <c r="A27" s="1345" t="s">
        <v>95</v>
      </c>
      <c r="B27" s="1346"/>
      <c r="C27" s="1347"/>
      <c r="D27" s="438" t="s">
        <v>88</v>
      </c>
      <c r="E27" s="438" t="s">
        <v>89</v>
      </c>
      <c r="F27" s="438" t="s">
        <v>90</v>
      </c>
      <c r="G27" s="439" t="s">
        <v>84</v>
      </c>
      <c r="H27" s="457"/>
      <c r="I27" s="436"/>
      <c r="J27" s="436"/>
    </row>
    <row r="28" spans="1:10">
      <c r="A28" s="458" t="s">
        <v>236</v>
      </c>
      <c r="B28" s="467"/>
      <c r="C28" s="468"/>
      <c r="D28" s="459" t="s">
        <v>237</v>
      </c>
      <c r="E28" s="430">
        <v>2000</v>
      </c>
      <c r="F28" s="440">
        <v>1</v>
      </c>
      <c r="G28" s="440">
        <f>+F28*E28</f>
        <v>2000</v>
      </c>
      <c r="H28" s="460"/>
      <c r="I28" s="708"/>
      <c r="J28" s="436"/>
    </row>
    <row r="29" spans="1:10" ht="13.5" thickBot="1">
      <c r="A29" s="1342" t="s">
        <v>235</v>
      </c>
      <c r="B29" s="1343"/>
      <c r="C29" s="1344"/>
      <c r="D29" s="475" t="s">
        <v>237</v>
      </c>
      <c r="E29" s="433">
        <v>14500</v>
      </c>
      <c r="F29" s="434">
        <f>1/5</f>
        <v>0.2</v>
      </c>
      <c r="G29" s="441">
        <f>+F29*E29</f>
        <v>2900</v>
      </c>
      <c r="H29" s="460"/>
      <c r="I29" s="436"/>
      <c r="J29" s="436"/>
    </row>
    <row r="30" spans="1:10" ht="13.5" thickBot="1">
      <c r="A30" s="436"/>
      <c r="B30" s="436"/>
      <c r="C30" s="436"/>
      <c r="D30" s="436"/>
      <c r="E30" s="436"/>
      <c r="F30" s="436"/>
      <c r="G30" s="437" t="s">
        <v>86</v>
      </c>
      <c r="H30" s="466">
        <f>SUM(G28:G29)</f>
        <v>4900</v>
      </c>
      <c r="I30" s="707">
        <f>+H30/H39</f>
        <v>1.7170017268401196E-2</v>
      </c>
      <c r="J30" s="541"/>
    </row>
    <row r="31" spans="1:10" ht="13.5" thickBot="1">
      <c r="A31" s="450" t="s">
        <v>96</v>
      </c>
      <c r="B31" s="450"/>
      <c r="C31" s="436"/>
      <c r="D31" s="436"/>
      <c r="E31" s="436"/>
      <c r="F31" s="436"/>
      <c r="G31" s="436"/>
      <c r="H31" s="436"/>
      <c r="I31" s="436"/>
      <c r="J31" s="436"/>
    </row>
    <row r="32" spans="1:10">
      <c r="A32" s="476" t="s">
        <v>97</v>
      </c>
      <c r="B32" s="438"/>
      <c r="C32" s="438" t="s">
        <v>98</v>
      </c>
      <c r="D32" s="438" t="s">
        <v>99</v>
      </c>
      <c r="E32" s="442" t="s">
        <v>100</v>
      </c>
      <c r="F32" s="443" t="s">
        <v>83</v>
      </c>
      <c r="G32" s="444" t="s">
        <v>84</v>
      </c>
      <c r="H32" s="477"/>
      <c r="I32" s="436"/>
      <c r="J32" s="436"/>
    </row>
    <row r="33" spans="1:10">
      <c r="A33" s="478" t="s">
        <v>227</v>
      </c>
      <c r="B33" s="468"/>
      <c r="C33" s="479">
        <f>PERSONAL!$E$31</f>
        <v>48800</v>
      </c>
      <c r="D33" s="480">
        <f>PERSONAL!$F$31</f>
        <v>1.7431000000000001</v>
      </c>
      <c r="E33" s="440">
        <f>+D33*C33</f>
        <v>85063.28</v>
      </c>
      <c r="F33" s="440">
        <v>6.5</v>
      </c>
      <c r="G33" s="445">
        <f>ROUND(E33/F33,0)</f>
        <v>13087</v>
      </c>
      <c r="H33" s="451"/>
      <c r="I33" s="436"/>
      <c r="J33" s="436"/>
    </row>
    <row r="34" spans="1:10">
      <c r="A34" s="478" t="s">
        <v>101</v>
      </c>
      <c r="B34" s="467"/>
      <c r="C34" s="479">
        <f>PERSONAL!$E$32</f>
        <v>87200</v>
      </c>
      <c r="D34" s="480">
        <f>PERSONAL!$F$31</f>
        <v>1.7431000000000001</v>
      </c>
      <c r="E34" s="440">
        <f>+D34*C34</f>
        <v>151998.32</v>
      </c>
      <c r="F34" s="440">
        <f>+F33</f>
        <v>6.5</v>
      </c>
      <c r="G34" s="445">
        <f>ROUND(E34/F34,0)</f>
        <v>23384</v>
      </c>
      <c r="H34" s="451"/>
      <c r="I34" s="436"/>
      <c r="J34" s="436"/>
    </row>
    <row r="35" spans="1:10">
      <c r="A35" s="478"/>
      <c r="B35" s="468"/>
      <c r="C35" s="430"/>
      <c r="D35" s="459"/>
      <c r="E35" s="430"/>
      <c r="F35" s="440"/>
      <c r="G35" s="445"/>
      <c r="H35" s="451"/>
      <c r="I35" s="436"/>
      <c r="J35" s="436"/>
    </row>
    <row r="36" spans="1:10" ht="13.5" thickBot="1">
      <c r="A36" s="481"/>
      <c r="B36" s="474"/>
      <c r="C36" s="474"/>
      <c r="D36" s="474"/>
      <c r="E36" s="474"/>
      <c r="F36" s="474"/>
      <c r="G36" s="482"/>
      <c r="H36" s="482"/>
      <c r="I36" s="436"/>
      <c r="J36" s="436"/>
    </row>
    <row r="37" spans="1:10" ht="13.5" thickBot="1">
      <c r="A37" s="436"/>
      <c r="B37" s="436"/>
      <c r="C37" s="436"/>
      <c r="D37" s="436"/>
      <c r="E37" s="436"/>
      <c r="F37" s="436"/>
      <c r="G37" s="437" t="s">
        <v>86</v>
      </c>
      <c r="H37" s="466">
        <f>SUM(G33:G36)</f>
        <v>36471</v>
      </c>
      <c r="I37" s="541"/>
      <c r="J37" s="541"/>
    </row>
    <row r="38" spans="1:10" ht="13.5" thickBot="1">
      <c r="A38" s="436"/>
      <c r="B38" s="436"/>
      <c r="C38" s="436"/>
      <c r="D38" s="436"/>
      <c r="E38" s="436"/>
      <c r="F38" s="436"/>
      <c r="G38" s="483"/>
      <c r="H38" s="436"/>
      <c r="I38" s="436"/>
      <c r="J38" s="436"/>
    </row>
    <row r="39" spans="1:10" ht="13.5" thickBot="1">
      <c r="A39" s="436"/>
      <c r="B39" s="436"/>
      <c r="C39" s="436"/>
      <c r="D39" s="436"/>
      <c r="E39" s="484" t="s">
        <v>102</v>
      </c>
      <c r="F39" s="485"/>
      <c r="G39" s="485"/>
      <c r="H39" s="709">
        <f>H16+H25+H30+H37</f>
        <v>285381.19230769231</v>
      </c>
      <c r="I39" s="541"/>
      <c r="J39" s="541"/>
    </row>
    <row r="40" spans="1:10" ht="13.5" thickBot="1">
      <c r="A40" s="450" t="s">
        <v>103</v>
      </c>
      <c r="B40" s="450"/>
      <c r="C40" s="436"/>
      <c r="D40" s="436"/>
      <c r="E40" s="436"/>
      <c r="F40" s="436"/>
      <c r="G40" s="436"/>
      <c r="H40" s="436"/>
      <c r="I40" s="436"/>
      <c r="J40" s="436"/>
    </row>
    <row r="41" spans="1:10">
      <c r="A41" s="487" t="s">
        <v>80</v>
      </c>
      <c r="B41" s="488"/>
      <c r="C41" s="488"/>
      <c r="D41" s="488"/>
      <c r="E41" s="489"/>
      <c r="F41" s="490" t="s">
        <v>104</v>
      </c>
      <c r="G41" s="491" t="s">
        <v>105</v>
      </c>
      <c r="H41" s="457"/>
      <c r="I41" s="436"/>
      <c r="J41" s="436"/>
    </row>
    <row r="42" spans="1:10">
      <c r="A42" s="469" t="s">
        <v>106</v>
      </c>
      <c r="B42" s="467"/>
      <c r="C42" s="467"/>
      <c r="D42" s="467"/>
      <c r="E42" s="468"/>
      <c r="F42" s="492">
        <f>PRESUPUESTO!$E$222</f>
        <v>0.109</v>
      </c>
      <c r="G42" s="493">
        <f>+F42*H39</f>
        <v>31106.549961538462</v>
      </c>
      <c r="H42" s="550"/>
      <c r="I42" s="436"/>
      <c r="J42" s="436"/>
    </row>
    <row r="43" spans="1:10">
      <c r="A43" s="469" t="s">
        <v>107</v>
      </c>
      <c r="B43" s="467"/>
      <c r="C43" s="467"/>
      <c r="D43" s="467"/>
      <c r="E43" s="468"/>
      <c r="F43" s="492">
        <f>PRESUPUESTO!$E$223</f>
        <v>0.05</v>
      </c>
      <c r="G43" s="493">
        <f>+F43*H39</f>
        <v>14269.059615384616</v>
      </c>
      <c r="H43" s="550"/>
      <c r="I43" s="436"/>
      <c r="J43" s="436"/>
    </row>
    <row r="44" spans="1:10" ht="13.5" thickBot="1">
      <c r="A44" s="472" t="s">
        <v>108</v>
      </c>
      <c r="B44" s="473"/>
      <c r="C44" s="473"/>
      <c r="D44" s="473"/>
      <c r="E44" s="474"/>
      <c r="F44" s="494">
        <v>0</v>
      </c>
      <c r="G44" s="495">
        <f>+F44*H39</f>
        <v>0</v>
      </c>
      <c r="H44" s="465"/>
      <c r="I44" s="436"/>
      <c r="J44" s="436"/>
    </row>
    <row r="45" spans="1:10" ht="13.5" thickBot="1">
      <c r="A45" s="436"/>
      <c r="B45" s="436"/>
      <c r="C45" s="436"/>
      <c r="D45" s="436"/>
      <c r="E45" s="436"/>
      <c r="F45" s="436"/>
      <c r="G45" s="437" t="s">
        <v>86</v>
      </c>
      <c r="H45" s="496">
        <f>SUM(G42:G44)</f>
        <v>45375.609576923074</v>
      </c>
      <c r="I45" s="541"/>
      <c r="J45" s="541"/>
    </row>
    <row r="46" spans="1:10" ht="13.5" thickBot="1">
      <c r="A46" s="436"/>
      <c r="B46" s="436"/>
      <c r="C46" s="436"/>
      <c r="D46" s="436"/>
      <c r="E46" s="436"/>
      <c r="F46" s="436"/>
      <c r="G46" s="436"/>
      <c r="H46" s="436"/>
      <c r="I46" s="436"/>
      <c r="J46" s="436"/>
    </row>
    <row r="47" spans="1:10" ht="13.5" thickBot="1">
      <c r="C47" s="436"/>
      <c r="D47" s="484" t="s">
        <v>109</v>
      </c>
      <c r="E47" s="485"/>
      <c r="F47" s="485"/>
      <c r="G47" s="485"/>
      <c r="H47" s="466">
        <f>ROUND((H39+H45),0)</f>
        <v>330757</v>
      </c>
      <c r="I47" s="541"/>
      <c r="J47" s="541"/>
    </row>
    <row r="49" spans="1:8" ht="15">
      <c r="A49" s="186" t="s">
        <v>77</v>
      </c>
    </row>
    <row r="50" spans="1:8" ht="13.5" thickBot="1"/>
    <row r="51" spans="1:8" ht="15" customHeight="1">
      <c r="A51" s="1348" t="s">
        <v>213</v>
      </c>
      <c r="B51" s="1349"/>
      <c r="C51" s="1350"/>
      <c r="D51" s="448"/>
      <c r="E51" s="448"/>
      <c r="F51" s="448"/>
      <c r="G51" s="448"/>
      <c r="H51" s="449"/>
    </row>
    <row r="52" spans="1:8" ht="15" customHeight="1">
      <c r="A52" s="1351"/>
      <c r="B52" s="1352"/>
      <c r="C52" s="1353"/>
      <c r="D52" s="436"/>
      <c r="E52" s="450" t="s">
        <v>78</v>
      </c>
      <c r="F52" s="436"/>
      <c r="G52" s="436"/>
      <c r="H52" s="451"/>
    </row>
    <row r="53" spans="1:8" ht="15" customHeight="1" thickBot="1">
      <c r="A53" s="1354"/>
      <c r="B53" s="1355"/>
      <c r="C53" s="1356"/>
      <c r="D53" s="1360"/>
      <c r="E53" s="1361"/>
      <c r="F53" s="1361"/>
      <c r="G53" s="1361"/>
      <c r="H53" s="1362"/>
    </row>
    <row r="54" spans="1:8">
      <c r="A54" s="455"/>
      <c r="B54" s="436"/>
      <c r="C54" s="436"/>
      <c r="D54" s="436"/>
      <c r="E54" s="436"/>
      <c r="F54" s="436"/>
      <c r="G54" s="436"/>
      <c r="H54" s="436"/>
    </row>
    <row r="55" spans="1:8">
      <c r="A55" s="455" t="s">
        <v>1228</v>
      </c>
      <c r="B55" s="456" t="str">
        <f>+PRESUPUESTO!$B$156</f>
        <v>PISOS Y ENCHAPES</v>
      </c>
      <c r="C55" s="436"/>
      <c r="E55" s="456"/>
      <c r="G55" s="456" t="s">
        <v>1123</v>
      </c>
      <c r="H55" s="436" t="str">
        <f>+PRESUPUESTO!$A$159</f>
        <v>9.1.2</v>
      </c>
    </row>
    <row r="56" spans="1:8" s="931" customFormat="1" ht="57" customHeight="1">
      <c r="A56" s="928" t="s">
        <v>1122</v>
      </c>
      <c r="B56" s="1375" t="str">
        <f>VLOOKUP(H55,PRESUPUESTO!$A$18:$F$251,2,FALSE)</f>
        <v>Suministro e instalación de enchape de baldosa perlato pulido y sellado de 40x52x1 cm sobre la cara frontal de banca en concreto, incluye pegacor con latex para exteriores y junta con polvillo color de acuerdo a la baldosa con separación de 2 mm.</v>
      </c>
      <c r="C56" s="1375"/>
      <c r="D56" s="1375"/>
      <c r="E56" s="1375"/>
      <c r="F56" s="1375"/>
      <c r="G56" s="929" t="s">
        <v>9</v>
      </c>
      <c r="H56" s="1024" t="str">
        <f>VLOOKUP(H55,PRESUPUESTO!$A$18:$F$251,3,FALSE)</f>
        <v>m2</v>
      </c>
    </row>
    <row r="57" spans="1:8">
      <c r="A57" s="562"/>
      <c r="B57" s="562"/>
      <c r="C57" s="562"/>
      <c r="D57" s="562"/>
      <c r="E57" s="562"/>
      <c r="F57" s="562"/>
      <c r="G57" s="456"/>
      <c r="H57" s="436"/>
    </row>
    <row r="58" spans="1:8">
      <c r="A58" s="456"/>
      <c r="B58" s="456"/>
      <c r="C58" s="436"/>
      <c r="D58" s="456"/>
      <c r="E58" s="456"/>
      <c r="F58" s="456"/>
      <c r="G58" s="456"/>
      <c r="H58" s="436"/>
    </row>
    <row r="59" spans="1:8" ht="13.5" thickBot="1">
      <c r="A59" s="450" t="s">
        <v>79</v>
      </c>
      <c r="B59" s="450"/>
      <c r="C59" s="436"/>
      <c r="D59" s="436"/>
      <c r="E59" s="436"/>
      <c r="F59" s="436"/>
      <c r="G59" s="436"/>
      <c r="H59" s="436"/>
    </row>
    <row r="60" spans="1:8">
      <c r="A60" s="1345" t="s">
        <v>80</v>
      </c>
      <c r="B60" s="1346"/>
      <c r="C60" s="1347"/>
      <c r="D60" s="438" t="s">
        <v>81</v>
      </c>
      <c r="E60" s="438" t="s">
        <v>82</v>
      </c>
      <c r="F60" s="438" t="s">
        <v>83</v>
      </c>
      <c r="G60" s="439" t="s">
        <v>84</v>
      </c>
      <c r="H60" s="457"/>
    </row>
    <row r="61" spans="1:8">
      <c r="A61" s="1357" t="s">
        <v>85</v>
      </c>
      <c r="B61" s="1358"/>
      <c r="C61" s="1359"/>
      <c r="D61" s="459"/>
      <c r="E61" s="440"/>
      <c r="F61" s="440"/>
      <c r="G61" s="432">
        <f>ROUND(H85*0.05,0)</f>
        <v>1824</v>
      </c>
      <c r="H61" s="460"/>
    </row>
    <row r="62" spans="1:8">
      <c r="A62" s="1357" t="s">
        <v>239</v>
      </c>
      <c r="B62" s="1358"/>
      <c r="C62" s="1359"/>
      <c r="D62" s="461" t="s">
        <v>263</v>
      </c>
      <c r="E62" s="462">
        <v>41000</v>
      </c>
      <c r="F62" s="440">
        <f>1/F81</f>
        <v>0.15384615384615385</v>
      </c>
      <c r="G62" s="432">
        <f>E62*F62</f>
        <v>6307.6923076923076</v>
      </c>
      <c r="H62" s="460"/>
    </row>
    <row r="63" spans="1:8" ht="13.5" thickBot="1">
      <c r="A63" s="1342"/>
      <c r="B63" s="1343"/>
      <c r="C63" s="1344"/>
      <c r="D63" s="464"/>
      <c r="E63" s="433"/>
      <c r="F63" s="434"/>
      <c r="G63" s="435"/>
      <c r="H63" s="465"/>
    </row>
    <row r="64" spans="1:8" ht="13.5" thickBot="1">
      <c r="A64" s="436"/>
      <c r="B64" s="436"/>
      <c r="C64" s="436"/>
      <c r="D64" s="436"/>
      <c r="E64" s="436"/>
      <c r="F64" s="436"/>
      <c r="G64" s="437" t="s">
        <v>86</v>
      </c>
      <c r="H64" s="466">
        <f>SUM(G61:G63)</f>
        <v>8131.6923076923076</v>
      </c>
    </row>
    <row r="65" spans="1:9" ht="13.5" thickBot="1">
      <c r="A65" s="450" t="s">
        <v>87</v>
      </c>
      <c r="B65" s="450"/>
      <c r="C65" s="436"/>
      <c r="D65" s="436"/>
      <c r="E65" s="436"/>
      <c r="F65" s="436"/>
      <c r="G65" s="436"/>
      <c r="H65" s="436"/>
    </row>
    <row r="66" spans="1:9">
      <c r="A66" s="1345" t="s">
        <v>80</v>
      </c>
      <c r="B66" s="1346"/>
      <c r="C66" s="1347"/>
      <c r="D66" s="438" t="s">
        <v>88</v>
      </c>
      <c r="E66" s="438" t="s">
        <v>89</v>
      </c>
      <c r="F66" s="438" t="s">
        <v>90</v>
      </c>
      <c r="G66" s="439" t="s">
        <v>84</v>
      </c>
      <c r="H66" s="457"/>
      <c r="I66" s="436"/>
    </row>
    <row r="67" spans="1:9">
      <c r="A67" s="458" t="s">
        <v>236</v>
      </c>
      <c r="B67" s="467"/>
      <c r="C67" s="468"/>
      <c r="D67" s="459" t="s">
        <v>237</v>
      </c>
      <c r="E67" s="430">
        <f>123000*1.19</f>
        <v>146370</v>
      </c>
      <c r="F67" s="440">
        <v>1</v>
      </c>
      <c r="G67" s="432">
        <f>ROUND(F67*E67,0)</f>
        <v>146370</v>
      </c>
      <c r="H67" s="460"/>
      <c r="I67" s="436"/>
    </row>
    <row r="68" spans="1:9">
      <c r="A68" s="469" t="s">
        <v>701</v>
      </c>
      <c r="B68" s="467"/>
      <c r="C68" s="468"/>
      <c r="D68" s="459" t="s">
        <v>241</v>
      </c>
      <c r="E68" s="430">
        <v>154900</v>
      </c>
      <c r="F68" s="431">
        <f>(1/25)*7</f>
        <v>0.28000000000000003</v>
      </c>
      <c r="G68" s="432">
        <f>ROUND(F68*E68,0)</f>
        <v>43372</v>
      </c>
      <c r="H68" s="460"/>
    </row>
    <row r="69" spans="1:9">
      <c r="A69" s="469" t="s">
        <v>238</v>
      </c>
      <c r="B69" s="467"/>
      <c r="C69" s="468"/>
      <c r="D69" s="459" t="s">
        <v>241</v>
      </c>
      <c r="E69" s="430">
        <f>36900/2</f>
        <v>18450</v>
      </c>
      <c r="F69" s="431">
        <v>0.24</v>
      </c>
      <c r="G69" s="432">
        <f>ROUND(F69*E69,0)</f>
        <v>4428</v>
      </c>
      <c r="H69" s="460"/>
    </row>
    <row r="70" spans="1:9">
      <c r="A70" s="469" t="s">
        <v>351</v>
      </c>
      <c r="B70" s="467"/>
      <c r="C70" s="468"/>
      <c r="D70" s="459" t="s">
        <v>237</v>
      </c>
      <c r="E70" s="430">
        <v>32000</v>
      </c>
      <c r="F70" s="431">
        <v>1</v>
      </c>
      <c r="G70" s="432">
        <f>ROUND(F70*E70,0)</f>
        <v>32000</v>
      </c>
      <c r="H70" s="460"/>
    </row>
    <row r="71" spans="1:9">
      <c r="A71" s="469" t="s">
        <v>93</v>
      </c>
      <c r="B71" s="467"/>
      <c r="C71" s="471">
        <v>0.05</v>
      </c>
      <c r="D71" s="459"/>
      <c r="E71" s="430"/>
      <c r="F71" s="431"/>
      <c r="G71" s="432">
        <f>SUM(G67:G69)*C71</f>
        <v>9708.5</v>
      </c>
      <c r="H71" s="460"/>
    </row>
    <row r="72" spans="1:9" ht="13.5" thickBot="1">
      <c r="A72" s="472"/>
      <c r="B72" s="473"/>
      <c r="C72" s="474"/>
      <c r="D72" s="464"/>
      <c r="E72" s="433"/>
      <c r="F72" s="434"/>
      <c r="G72" s="435"/>
      <c r="H72" s="465"/>
    </row>
    <row r="73" spans="1:9" ht="13.5" thickBot="1">
      <c r="A73" s="436"/>
      <c r="B73" s="436"/>
      <c r="C73" s="436"/>
      <c r="D73" s="436"/>
      <c r="E73" s="436"/>
      <c r="F73" s="436"/>
      <c r="G73" s="437" t="s">
        <v>86</v>
      </c>
      <c r="H73" s="466">
        <f>SUM(G67:G72)</f>
        <v>235878.5</v>
      </c>
    </row>
    <row r="74" spans="1:9" ht="13.5" thickBot="1">
      <c r="A74" s="450" t="s">
        <v>94</v>
      </c>
      <c r="B74" s="450"/>
      <c r="C74" s="436"/>
      <c r="D74" s="436"/>
      <c r="E74" s="436"/>
      <c r="F74" s="436"/>
      <c r="G74" s="436"/>
      <c r="H74" s="436"/>
    </row>
    <row r="75" spans="1:9">
      <c r="A75" s="1345" t="s">
        <v>95</v>
      </c>
      <c r="B75" s="1346"/>
      <c r="C75" s="1347"/>
      <c r="D75" s="438" t="s">
        <v>88</v>
      </c>
      <c r="E75" s="438" t="s">
        <v>89</v>
      </c>
      <c r="F75" s="438" t="s">
        <v>90</v>
      </c>
      <c r="G75" s="439" t="s">
        <v>84</v>
      </c>
      <c r="H75" s="457"/>
    </row>
    <row r="76" spans="1:9">
      <c r="A76" s="458" t="s">
        <v>236</v>
      </c>
      <c r="B76" s="467"/>
      <c r="C76" s="468"/>
      <c r="D76" s="459" t="s">
        <v>237</v>
      </c>
      <c r="E76" s="430">
        <v>2000</v>
      </c>
      <c r="F76" s="440">
        <v>1</v>
      </c>
      <c r="G76" s="440">
        <f>+F76*E76</f>
        <v>2000</v>
      </c>
      <c r="H76" s="460"/>
    </row>
    <row r="77" spans="1:9" ht="13.5" thickBot="1">
      <c r="A77" s="1342" t="s">
        <v>235</v>
      </c>
      <c r="B77" s="1343"/>
      <c r="C77" s="1344"/>
      <c r="D77" s="475" t="s">
        <v>237</v>
      </c>
      <c r="E77" s="433">
        <v>14500</v>
      </c>
      <c r="F77" s="434">
        <f>1/5</f>
        <v>0.2</v>
      </c>
      <c r="G77" s="441">
        <f>+F77*E77</f>
        <v>2900</v>
      </c>
      <c r="H77" s="460"/>
    </row>
    <row r="78" spans="1:9" ht="13.5" thickBot="1">
      <c r="A78" s="436"/>
      <c r="B78" s="436"/>
      <c r="C78" s="436"/>
      <c r="D78" s="436"/>
      <c r="E78" s="436"/>
      <c r="F78" s="436"/>
      <c r="G78" s="437" t="s">
        <v>86</v>
      </c>
      <c r="H78" s="466">
        <f>SUM(G76:G77)</f>
        <v>4900</v>
      </c>
    </row>
    <row r="79" spans="1:9" ht="13.5" thickBot="1">
      <c r="A79" s="450" t="s">
        <v>96</v>
      </c>
      <c r="B79" s="450"/>
      <c r="C79" s="436"/>
      <c r="D79" s="436"/>
      <c r="E79" s="436"/>
      <c r="F79" s="436"/>
      <c r="G79" s="436"/>
      <c r="H79" s="436"/>
    </row>
    <row r="80" spans="1:9">
      <c r="A80" s="476" t="s">
        <v>97</v>
      </c>
      <c r="B80" s="438"/>
      <c r="C80" s="438" t="s">
        <v>98</v>
      </c>
      <c r="D80" s="438" t="s">
        <v>99</v>
      </c>
      <c r="E80" s="442" t="s">
        <v>100</v>
      </c>
      <c r="F80" s="443" t="s">
        <v>83</v>
      </c>
      <c r="G80" s="444" t="s">
        <v>84</v>
      </c>
      <c r="H80" s="477"/>
    </row>
    <row r="81" spans="1:8">
      <c r="A81" s="478" t="s">
        <v>227</v>
      </c>
      <c r="B81" s="468"/>
      <c r="C81" s="479">
        <f>PERSONAL!$E$31</f>
        <v>48800</v>
      </c>
      <c r="D81" s="480">
        <f>PERSONAL!$F$31</f>
        <v>1.7431000000000001</v>
      </c>
      <c r="E81" s="440">
        <f>+D81*C81</f>
        <v>85063.28</v>
      </c>
      <c r="F81" s="440">
        <v>6.5</v>
      </c>
      <c r="G81" s="445">
        <f>ROUND(E81/F81,0)</f>
        <v>13087</v>
      </c>
      <c r="H81" s="451"/>
    </row>
    <row r="82" spans="1:8">
      <c r="A82" s="478" t="s">
        <v>101</v>
      </c>
      <c r="B82" s="467"/>
      <c r="C82" s="479">
        <f>PERSONAL!$E$32</f>
        <v>87200</v>
      </c>
      <c r="D82" s="480">
        <f>PERSONAL!$F$31</f>
        <v>1.7431000000000001</v>
      </c>
      <c r="E82" s="440">
        <f>+D82*C82</f>
        <v>151998.32</v>
      </c>
      <c r="F82" s="440">
        <f>+F81</f>
        <v>6.5</v>
      </c>
      <c r="G82" s="445">
        <f>ROUND(E82/F82,0)</f>
        <v>23384</v>
      </c>
      <c r="H82" s="451"/>
    </row>
    <row r="83" spans="1:8">
      <c r="A83" s="478"/>
      <c r="B83" s="468"/>
      <c r="C83" s="430"/>
      <c r="D83" s="459"/>
      <c r="E83" s="430"/>
      <c r="F83" s="440"/>
      <c r="G83" s="445"/>
      <c r="H83" s="451"/>
    </row>
    <row r="84" spans="1:8" ht="13.5" thickBot="1">
      <c r="A84" s="481"/>
      <c r="B84" s="474"/>
      <c r="C84" s="474"/>
      <c r="D84" s="474"/>
      <c r="E84" s="474"/>
      <c r="F84" s="474"/>
      <c r="G84" s="482"/>
      <c r="H84" s="482"/>
    </row>
    <row r="85" spans="1:8" ht="13.5" thickBot="1">
      <c r="A85" s="436"/>
      <c r="B85" s="436"/>
      <c r="C85" s="436"/>
      <c r="D85" s="436"/>
      <c r="E85" s="436"/>
      <c r="F85" s="436"/>
      <c r="G85" s="437" t="s">
        <v>86</v>
      </c>
      <c r="H85" s="466">
        <f>SUM(G81:G84)</f>
        <v>36471</v>
      </c>
    </row>
    <row r="86" spans="1:8" ht="13.5" thickBot="1">
      <c r="A86" s="436"/>
      <c r="B86" s="436"/>
      <c r="C86" s="436"/>
      <c r="D86" s="436"/>
      <c r="E86" s="436"/>
      <c r="F86" s="436"/>
      <c r="G86" s="483"/>
      <c r="H86" s="436"/>
    </row>
    <row r="87" spans="1:8" ht="13.5" thickBot="1">
      <c r="A87" s="436"/>
      <c r="B87" s="436"/>
      <c r="C87" s="436"/>
      <c r="D87" s="436"/>
      <c r="E87" s="484" t="s">
        <v>102</v>
      </c>
      <c r="F87" s="485"/>
      <c r="G87" s="485"/>
      <c r="H87" s="466">
        <f>H64+H73+H78+H85</f>
        <v>285381.19230769231</v>
      </c>
    </row>
    <row r="88" spans="1:8" ht="13.5" thickBot="1">
      <c r="A88" s="450" t="s">
        <v>103</v>
      </c>
      <c r="B88" s="450"/>
      <c r="C88" s="436"/>
      <c r="D88" s="436"/>
      <c r="E88" s="436"/>
      <c r="F88" s="436"/>
      <c r="G88" s="436"/>
      <c r="H88" s="436"/>
    </row>
    <row r="89" spans="1:8">
      <c r="A89" s="487" t="s">
        <v>80</v>
      </c>
      <c r="B89" s="488"/>
      <c r="C89" s="488"/>
      <c r="D89" s="488"/>
      <c r="E89" s="489"/>
      <c r="F89" s="490" t="s">
        <v>104</v>
      </c>
      <c r="G89" s="491" t="s">
        <v>105</v>
      </c>
      <c r="H89" s="457"/>
    </row>
    <row r="90" spans="1:8">
      <c r="A90" s="469" t="s">
        <v>106</v>
      </c>
      <c r="B90" s="467"/>
      <c r="C90" s="467"/>
      <c r="D90" s="467"/>
      <c r="E90" s="468"/>
      <c r="F90" s="492">
        <f>PRESUPUESTO!$E$222</f>
        <v>0.109</v>
      </c>
      <c r="G90" s="493">
        <f>+F90*H87</f>
        <v>31106.549961538462</v>
      </c>
      <c r="H90" s="550"/>
    </row>
    <row r="91" spans="1:8">
      <c r="A91" s="469" t="s">
        <v>107</v>
      </c>
      <c r="B91" s="467"/>
      <c r="C91" s="467"/>
      <c r="D91" s="467"/>
      <c r="E91" s="468"/>
      <c r="F91" s="492">
        <f>PRESUPUESTO!$E$223</f>
        <v>0.05</v>
      </c>
      <c r="G91" s="493">
        <f>+F91*H87</f>
        <v>14269.059615384616</v>
      </c>
      <c r="H91" s="550"/>
    </row>
    <row r="92" spans="1:8" ht="13.5" thickBot="1">
      <c r="A92" s="472" t="s">
        <v>108</v>
      </c>
      <c r="B92" s="473"/>
      <c r="C92" s="473"/>
      <c r="D92" s="473"/>
      <c r="E92" s="474"/>
      <c r="F92" s="494">
        <v>0</v>
      </c>
      <c r="G92" s="495">
        <f>+F92*H87</f>
        <v>0</v>
      </c>
      <c r="H92" s="465"/>
    </row>
    <row r="93" spans="1:8" ht="13.5" thickBot="1">
      <c r="A93" s="436"/>
      <c r="B93" s="436"/>
      <c r="C93" s="436"/>
      <c r="D93" s="436"/>
      <c r="E93" s="436"/>
      <c r="F93" s="436"/>
      <c r="G93" s="437" t="s">
        <v>86</v>
      </c>
      <c r="H93" s="496">
        <f>SUM(G90:G92)</f>
        <v>45375.609576923074</v>
      </c>
    </row>
    <row r="94" spans="1:8" ht="13.5" thickBot="1">
      <c r="A94" s="436"/>
      <c r="B94" s="436"/>
      <c r="C94" s="436"/>
      <c r="D94" s="436"/>
      <c r="E94" s="436"/>
      <c r="F94" s="436"/>
      <c r="G94" s="436"/>
      <c r="H94" s="436"/>
    </row>
    <row r="95" spans="1:8" ht="13.5" thickBot="1">
      <c r="C95" s="436"/>
      <c r="D95" s="484" t="s">
        <v>109</v>
      </c>
      <c r="E95" s="485"/>
      <c r="F95" s="485"/>
      <c r="G95" s="485"/>
      <c r="H95" s="466">
        <f>ROUND((H87+H93),0)</f>
        <v>330757</v>
      </c>
    </row>
    <row r="97" spans="1:8" ht="15">
      <c r="A97" s="186" t="s">
        <v>77</v>
      </c>
    </row>
    <row r="98" spans="1:8" ht="13.5" thickBot="1"/>
    <row r="99" spans="1:8">
      <c r="A99" s="1348" t="s">
        <v>213</v>
      </c>
      <c r="B99" s="1349"/>
      <c r="C99" s="1350"/>
      <c r="D99" s="448"/>
      <c r="E99" s="448"/>
      <c r="F99" s="448"/>
      <c r="G99" s="448"/>
      <c r="H99" s="449"/>
    </row>
    <row r="100" spans="1:8">
      <c r="A100" s="1351"/>
      <c r="B100" s="1352"/>
      <c r="C100" s="1353"/>
      <c r="D100" s="436"/>
      <c r="E100" s="450" t="s">
        <v>78</v>
      </c>
      <c r="F100" s="436"/>
      <c r="G100" s="436"/>
      <c r="H100" s="451"/>
    </row>
    <row r="101" spans="1:8" ht="13.5" thickBot="1">
      <c r="A101" s="1354"/>
      <c r="B101" s="1355"/>
      <c r="C101" s="1356"/>
      <c r="D101" s="1360"/>
      <c r="E101" s="1361"/>
      <c r="F101" s="1361"/>
      <c r="G101" s="1361"/>
      <c r="H101" s="1362"/>
    </row>
    <row r="102" spans="1:8">
      <c r="A102" s="455"/>
      <c r="B102" s="436"/>
      <c r="C102" s="436"/>
      <c r="D102" s="436"/>
      <c r="E102" s="436"/>
      <c r="F102" s="436"/>
      <c r="G102" s="436"/>
      <c r="H102" s="436"/>
    </row>
    <row r="103" spans="1:8">
      <c r="A103" s="455" t="s">
        <v>1228</v>
      </c>
      <c r="B103" s="456" t="str">
        <f>+PRESUPUESTO!$B$156</f>
        <v>PISOS Y ENCHAPES</v>
      </c>
      <c r="C103" s="436"/>
      <c r="E103" s="456"/>
      <c r="G103" s="456" t="s">
        <v>1123</v>
      </c>
      <c r="H103" s="436" t="str">
        <f>+PRESUPUESTO!$A$160</f>
        <v>9.1.3</v>
      </c>
    </row>
    <row r="104" spans="1:8" s="931" customFormat="1" ht="57" customHeight="1">
      <c r="A104" s="928" t="s">
        <v>1122</v>
      </c>
      <c r="B104" s="1375" t="str">
        <f>VLOOKUP(H103,PRESUPUESTO!$A$18:$F$251,2,FALSE)</f>
        <v>Suministro e instalación de enchape de baldosa perlato pulido y sellado de 40x100x6 cm sobre la cara superior de banca y matera, incluye pegacor con latex para exteriores y junta con polvillo color de acuerdo a la baldosa con separación de 2 mm.</v>
      </c>
      <c r="C104" s="1375"/>
      <c r="D104" s="1375"/>
      <c r="E104" s="1375"/>
      <c r="F104" s="1375"/>
      <c r="G104" s="929" t="s">
        <v>9</v>
      </c>
      <c r="H104" s="1024" t="str">
        <f>VLOOKUP(H103,PRESUPUESTO!$A$18:$F$251,3,FALSE)</f>
        <v>m2</v>
      </c>
    </row>
    <row r="105" spans="1:8">
      <c r="A105" s="562"/>
      <c r="B105" s="562"/>
      <c r="C105" s="562"/>
      <c r="D105" s="562"/>
      <c r="E105" s="562"/>
      <c r="F105" s="562"/>
      <c r="G105" s="456"/>
      <c r="H105" s="436"/>
    </row>
    <row r="106" spans="1:8">
      <c r="A106" s="456"/>
      <c r="B106" s="456"/>
      <c r="C106" s="436"/>
      <c r="D106" s="456"/>
      <c r="E106" s="456"/>
      <c r="F106" s="456"/>
      <c r="G106" s="456"/>
      <c r="H106" s="436"/>
    </row>
    <row r="107" spans="1:8" ht="13.5" thickBot="1">
      <c r="A107" s="450" t="s">
        <v>79</v>
      </c>
      <c r="B107" s="450"/>
      <c r="C107" s="436"/>
      <c r="D107" s="436"/>
      <c r="E107" s="436"/>
      <c r="F107" s="436"/>
      <c r="G107" s="436"/>
      <c r="H107" s="436"/>
    </row>
    <row r="108" spans="1:8">
      <c r="A108" s="1345" t="s">
        <v>80</v>
      </c>
      <c r="B108" s="1346"/>
      <c r="C108" s="1347"/>
      <c r="D108" s="438" t="s">
        <v>81</v>
      </c>
      <c r="E108" s="438" t="s">
        <v>82</v>
      </c>
      <c r="F108" s="438" t="s">
        <v>83</v>
      </c>
      <c r="G108" s="439" t="s">
        <v>84</v>
      </c>
      <c r="H108" s="457"/>
    </row>
    <row r="109" spans="1:8">
      <c r="A109" s="1357" t="s">
        <v>85</v>
      </c>
      <c r="B109" s="1358"/>
      <c r="C109" s="1359"/>
      <c r="D109" s="459"/>
      <c r="E109" s="440"/>
      <c r="F109" s="440"/>
      <c r="G109" s="432">
        <f>ROUND(H133*0.05,0)</f>
        <v>2634</v>
      </c>
      <c r="H109" s="460"/>
    </row>
    <row r="110" spans="1:8">
      <c r="A110" s="1357" t="s">
        <v>239</v>
      </c>
      <c r="B110" s="1358"/>
      <c r="C110" s="1359"/>
      <c r="D110" s="461" t="s">
        <v>263</v>
      </c>
      <c r="E110" s="462">
        <v>41000</v>
      </c>
      <c r="F110" s="440">
        <f>1/F129</f>
        <v>0.22222222222222221</v>
      </c>
      <c r="G110" s="432">
        <f>E110*F110</f>
        <v>9111.1111111111113</v>
      </c>
      <c r="H110" s="460"/>
    </row>
    <row r="111" spans="1:8" ht="13.5" thickBot="1">
      <c r="A111" s="1342"/>
      <c r="B111" s="1343"/>
      <c r="C111" s="1344"/>
      <c r="D111" s="464"/>
      <c r="E111" s="433"/>
      <c r="F111" s="434"/>
      <c r="G111" s="435"/>
      <c r="H111" s="465"/>
    </row>
    <row r="112" spans="1:8" ht="13.5" thickBot="1">
      <c r="A112" s="436"/>
      <c r="B112" s="436"/>
      <c r="C112" s="436"/>
      <c r="D112" s="436"/>
      <c r="E112" s="436"/>
      <c r="F112" s="436"/>
      <c r="G112" s="437" t="s">
        <v>86</v>
      </c>
      <c r="H112" s="466">
        <f>SUM(G109:G111)</f>
        <v>11745.111111111111</v>
      </c>
    </row>
    <row r="113" spans="1:8" ht="13.5" thickBot="1">
      <c r="A113" s="450" t="s">
        <v>87</v>
      </c>
      <c r="B113" s="450"/>
      <c r="C113" s="436"/>
      <c r="D113" s="436"/>
      <c r="E113" s="436"/>
      <c r="F113" s="436"/>
      <c r="G113" s="436"/>
      <c r="H113" s="436"/>
    </row>
    <row r="114" spans="1:8">
      <c r="A114" s="1345" t="s">
        <v>80</v>
      </c>
      <c r="B114" s="1346"/>
      <c r="C114" s="1347"/>
      <c r="D114" s="438" t="s">
        <v>88</v>
      </c>
      <c r="E114" s="438" t="s">
        <v>89</v>
      </c>
      <c r="F114" s="438" t="s">
        <v>90</v>
      </c>
      <c r="G114" s="439" t="s">
        <v>84</v>
      </c>
      <c r="H114" s="457"/>
    </row>
    <row r="115" spans="1:8">
      <c r="A115" s="458" t="s">
        <v>236</v>
      </c>
      <c r="B115" s="467"/>
      <c r="C115" s="468"/>
      <c r="D115" s="459" t="s">
        <v>237</v>
      </c>
      <c r="E115" s="430">
        <f>260000*1.19</f>
        <v>309400</v>
      </c>
      <c r="F115" s="440">
        <v>1</v>
      </c>
      <c r="G115" s="432">
        <f>ROUND(F115*E115,0)</f>
        <v>309400</v>
      </c>
      <c r="H115" s="460"/>
    </row>
    <row r="116" spans="1:8">
      <c r="A116" s="469" t="s">
        <v>701</v>
      </c>
      <c r="B116" s="467"/>
      <c r="C116" s="468"/>
      <c r="D116" s="459" t="s">
        <v>241</v>
      </c>
      <c r="E116" s="430">
        <v>154900</v>
      </c>
      <c r="F116" s="431">
        <f>(1/25)*7</f>
        <v>0.28000000000000003</v>
      </c>
      <c r="G116" s="432">
        <f>ROUND(F116*E116,0)</f>
        <v>43372</v>
      </c>
      <c r="H116" s="460"/>
    </row>
    <row r="117" spans="1:8">
      <c r="A117" s="469" t="s">
        <v>238</v>
      </c>
      <c r="B117" s="467"/>
      <c r="C117" s="468"/>
      <c r="D117" s="459" t="s">
        <v>241</v>
      </c>
      <c r="E117" s="430">
        <f>36900/2</f>
        <v>18450</v>
      </c>
      <c r="F117" s="431">
        <v>0.24</v>
      </c>
      <c r="G117" s="432">
        <f>ROUND(F117*E117,0)</f>
        <v>4428</v>
      </c>
      <c r="H117" s="460"/>
    </row>
    <row r="118" spans="1:8">
      <c r="A118" s="469" t="s">
        <v>351</v>
      </c>
      <c r="B118" s="467"/>
      <c r="C118" s="468"/>
      <c r="D118" s="459" t="s">
        <v>237</v>
      </c>
      <c r="E118" s="430">
        <v>32000</v>
      </c>
      <c r="F118" s="431">
        <v>1</v>
      </c>
      <c r="G118" s="432">
        <f>ROUND(F118*E118,0)</f>
        <v>32000</v>
      </c>
      <c r="H118" s="460"/>
    </row>
    <row r="119" spans="1:8">
      <c r="A119" s="469" t="s">
        <v>93</v>
      </c>
      <c r="B119" s="467"/>
      <c r="C119" s="471">
        <v>0.05</v>
      </c>
      <c r="D119" s="459"/>
      <c r="E119" s="430"/>
      <c r="F119" s="431"/>
      <c r="G119" s="432">
        <f>SUM(G115:G118)*C119</f>
        <v>19460</v>
      </c>
      <c r="H119" s="460"/>
    </row>
    <row r="120" spans="1:8" ht="13.5" thickBot="1">
      <c r="A120" s="472"/>
      <c r="B120" s="473"/>
      <c r="C120" s="474"/>
      <c r="D120" s="464"/>
      <c r="E120" s="433"/>
      <c r="F120" s="434"/>
      <c r="G120" s="435"/>
      <c r="H120" s="465"/>
    </row>
    <row r="121" spans="1:8" ht="13.5" thickBot="1">
      <c r="A121" s="436"/>
      <c r="B121" s="436"/>
      <c r="C121" s="436"/>
      <c r="D121" s="436"/>
      <c r="E121" s="436"/>
      <c r="F121" s="436"/>
      <c r="G121" s="437" t="s">
        <v>86</v>
      </c>
      <c r="H121" s="466">
        <f>SUM(G115:G120)</f>
        <v>408660</v>
      </c>
    </row>
    <row r="122" spans="1:8" ht="13.5" thickBot="1">
      <c r="A122" s="450" t="s">
        <v>94</v>
      </c>
      <c r="B122" s="450"/>
      <c r="C122" s="436"/>
      <c r="D122" s="436"/>
      <c r="E122" s="436"/>
      <c r="F122" s="436"/>
      <c r="G122" s="436"/>
      <c r="H122" s="436"/>
    </row>
    <row r="123" spans="1:8">
      <c r="A123" s="1345" t="s">
        <v>95</v>
      </c>
      <c r="B123" s="1346"/>
      <c r="C123" s="1347"/>
      <c r="D123" s="438" t="s">
        <v>88</v>
      </c>
      <c r="E123" s="438" t="s">
        <v>89</v>
      </c>
      <c r="F123" s="438" t="s">
        <v>90</v>
      </c>
      <c r="G123" s="439" t="s">
        <v>84</v>
      </c>
      <c r="H123" s="457"/>
    </row>
    <row r="124" spans="1:8">
      <c r="A124" s="458" t="s">
        <v>236</v>
      </c>
      <c r="B124" s="467"/>
      <c r="C124" s="468"/>
      <c r="D124" s="459" t="s">
        <v>237</v>
      </c>
      <c r="E124" s="430">
        <v>4300</v>
      </c>
      <c r="F124" s="440">
        <v>3</v>
      </c>
      <c r="G124" s="440">
        <f>+F124*E124</f>
        <v>12900</v>
      </c>
      <c r="H124" s="460"/>
    </row>
    <row r="125" spans="1:8" ht="13.5" thickBot="1">
      <c r="A125" s="1342" t="s">
        <v>235</v>
      </c>
      <c r="B125" s="1343"/>
      <c r="C125" s="1344"/>
      <c r="D125" s="475" t="s">
        <v>237</v>
      </c>
      <c r="E125" s="433">
        <f>+E124*1.5</f>
        <v>6450</v>
      </c>
      <c r="F125" s="434">
        <f>+F124</f>
        <v>3</v>
      </c>
      <c r="G125" s="441">
        <f>+F125*E125</f>
        <v>19350</v>
      </c>
      <c r="H125" s="460"/>
    </row>
    <row r="126" spans="1:8" ht="13.5" thickBot="1">
      <c r="A126" s="436"/>
      <c r="B126" s="436"/>
      <c r="C126" s="436"/>
      <c r="D126" s="436"/>
      <c r="E126" s="436"/>
      <c r="F126" s="436"/>
      <c r="G126" s="437" t="s">
        <v>86</v>
      </c>
      <c r="H126" s="466">
        <f>SUM(G124:G125)</f>
        <v>32250</v>
      </c>
    </row>
    <row r="127" spans="1:8" ht="13.5" thickBot="1">
      <c r="A127" s="450" t="s">
        <v>96</v>
      </c>
      <c r="B127" s="450"/>
      <c r="C127" s="436"/>
      <c r="D127" s="436"/>
      <c r="E127" s="436"/>
      <c r="F127" s="436"/>
      <c r="G127" s="436"/>
      <c r="H127" s="436"/>
    </row>
    <row r="128" spans="1:8">
      <c r="A128" s="476" t="s">
        <v>97</v>
      </c>
      <c r="B128" s="438"/>
      <c r="C128" s="438" t="s">
        <v>98</v>
      </c>
      <c r="D128" s="438" t="s">
        <v>99</v>
      </c>
      <c r="E128" s="442" t="s">
        <v>100</v>
      </c>
      <c r="F128" s="443" t="s">
        <v>83</v>
      </c>
      <c r="G128" s="444" t="s">
        <v>84</v>
      </c>
      <c r="H128" s="477"/>
    </row>
    <row r="129" spans="1:8">
      <c r="A129" s="478" t="s">
        <v>227</v>
      </c>
      <c r="B129" s="468"/>
      <c r="C129" s="479">
        <f>PERSONAL!$E$31</f>
        <v>48800</v>
      </c>
      <c r="D129" s="480">
        <f>PERSONAL!$F$31</f>
        <v>1.7431000000000001</v>
      </c>
      <c r="E129" s="440">
        <f>+D129*C129</f>
        <v>85063.28</v>
      </c>
      <c r="F129" s="440">
        <v>4.5</v>
      </c>
      <c r="G129" s="445">
        <f>ROUND(E129/F129,0)</f>
        <v>18903</v>
      </c>
      <c r="H129" s="451"/>
    </row>
    <row r="130" spans="1:8">
      <c r="A130" s="478" t="s">
        <v>101</v>
      </c>
      <c r="B130" s="467"/>
      <c r="C130" s="479">
        <f>PERSONAL!$E$32</f>
        <v>87200</v>
      </c>
      <c r="D130" s="480">
        <f>PERSONAL!$F$31</f>
        <v>1.7431000000000001</v>
      </c>
      <c r="E130" s="440">
        <f>+D130*C130</f>
        <v>151998.32</v>
      </c>
      <c r="F130" s="440">
        <f>+F129</f>
        <v>4.5</v>
      </c>
      <c r="G130" s="445">
        <f>ROUND(E130/F130,0)</f>
        <v>33777</v>
      </c>
      <c r="H130" s="451"/>
    </row>
    <row r="131" spans="1:8">
      <c r="A131" s="478"/>
      <c r="B131" s="468"/>
      <c r="C131" s="430"/>
      <c r="D131" s="459"/>
      <c r="E131" s="430"/>
      <c r="F131" s="440"/>
      <c r="G131" s="445"/>
      <c r="H131" s="451"/>
    </row>
    <row r="132" spans="1:8" ht="13.5" thickBot="1">
      <c r="A132" s="481"/>
      <c r="B132" s="474"/>
      <c r="C132" s="474"/>
      <c r="D132" s="474"/>
      <c r="E132" s="474"/>
      <c r="F132" s="474"/>
      <c r="G132" s="482"/>
      <c r="H132" s="482"/>
    </row>
    <row r="133" spans="1:8" ht="13.5" thickBot="1">
      <c r="A133" s="436"/>
      <c r="B133" s="436"/>
      <c r="C133" s="436"/>
      <c r="D133" s="436"/>
      <c r="E133" s="436"/>
      <c r="F133" s="436"/>
      <c r="G133" s="437" t="s">
        <v>86</v>
      </c>
      <c r="H133" s="466">
        <f>SUM(G129:G132)</f>
        <v>52680</v>
      </c>
    </row>
    <row r="134" spans="1:8" ht="13.5" thickBot="1">
      <c r="A134" s="436"/>
      <c r="B134" s="436"/>
      <c r="C134" s="436"/>
      <c r="D134" s="436"/>
      <c r="E134" s="436"/>
      <c r="F134" s="436"/>
      <c r="G134" s="483"/>
      <c r="H134" s="436"/>
    </row>
    <row r="135" spans="1:8" ht="13.5" thickBot="1">
      <c r="A135" s="436"/>
      <c r="B135" s="436"/>
      <c r="C135" s="436"/>
      <c r="D135" s="436"/>
      <c r="E135" s="484" t="s">
        <v>102</v>
      </c>
      <c r="F135" s="485"/>
      <c r="G135" s="485"/>
      <c r="H135" s="466">
        <f>H112+H121+H126+H133</f>
        <v>505335.11111111112</v>
      </c>
    </row>
    <row r="136" spans="1:8" ht="13.5" thickBot="1">
      <c r="A136" s="450" t="s">
        <v>103</v>
      </c>
      <c r="B136" s="450"/>
      <c r="C136" s="436"/>
      <c r="D136" s="436"/>
      <c r="E136" s="436"/>
      <c r="F136" s="436"/>
      <c r="G136" s="436"/>
      <c r="H136" s="436"/>
    </row>
    <row r="137" spans="1:8">
      <c r="A137" s="487" t="s">
        <v>80</v>
      </c>
      <c r="B137" s="488"/>
      <c r="C137" s="488"/>
      <c r="D137" s="488"/>
      <c r="E137" s="489"/>
      <c r="F137" s="490" t="s">
        <v>104</v>
      </c>
      <c r="G137" s="491" t="s">
        <v>105</v>
      </c>
      <c r="H137" s="457"/>
    </row>
    <row r="138" spans="1:8">
      <c r="A138" s="469" t="s">
        <v>106</v>
      </c>
      <c r="B138" s="467"/>
      <c r="C138" s="467"/>
      <c r="D138" s="467"/>
      <c r="E138" s="468"/>
      <c r="F138" s="492">
        <f>PRESUPUESTO!$E$222</f>
        <v>0.109</v>
      </c>
      <c r="G138" s="493">
        <f>+F138*H135</f>
        <v>55081.527111111114</v>
      </c>
      <c r="H138" s="550"/>
    </row>
    <row r="139" spans="1:8">
      <c r="A139" s="469" t="s">
        <v>107</v>
      </c>
      <c r="B139" s="467"/>
      <c r="C139" s="467"/>
      <c r="D139" s="467"/>
      <c r="E139" s="468"/>
      <c r="F139" s="492">
        <f>PRESUPUESTO!$E$223</f>
        <v>0.05</v>
      </c>
      <c r="G139" s="493">
        <f>+F139*H135</f>
        <v>25266.755555555559</v>
      </c>
      <c r="H139" s="550"/>
    </row>
    <row r="140" spans="1:8" ht="13.5" thickBot="1">
      <c r="A140" s="472" t="s">
        <v>108</v>
      </c>
      <c r="B140" s="473"/>
      <c r="C140" s="473"/>
      <c r="D140" s="473"/>
      <c r="E140" s="474"/>
      <c r="F140" s="494">
        <v>0</v>
      </c>
      <c r="G140" s="495">
        <f>+F140*H135</f>
        <v>0</v>
      </c>
      <c r="H140" s="465"/>
    </row>
    <row r="141" spans="1:8" ht="13.5" thickBot="1">
      <c r="A141" s="436"/>
      <c r="B141" s="436"/>
      <c r="C141" s="436"/>
      <c r="D141" s="436"/>
      <c r="E141" s="436"/>
      <c r="F141" s="436"/>
      <c r="G141" s="437" t="s">
        <v>86</v>
      </c>
      <c r="H141" s="496">
        <f>SUM(G138:G140)</f>
        <v>80348.282666666666</v>
      </c>
    </row>
    <row r="142" spans="1:8" ht="13.5" thickBot="1">
      <c r="A142" s="436"/>
      <c r="B142" s="436"/>
      <c r="C142" s="436"/>
      <c r="D142" s="436"/>
      <c r="E142" s="436"/>
      <c r="F142" s="436"/>
      <c r="G142" s="436"/>
      <c r="H142" s="436"/>
    </row>
    <row r="143" spans="1:8" ht="13.5" thickBot="1">
      <c r="C143" s="436"/>
      <c r="D143" s="484" t="s">
        <v>109</v>
      </c>
      <c r="E143" s="485"/>
      <c r="F143" s="485"/>
      <c r="G143" s="485"/>
      <c r="H143" s="466">
        <f>ROUND((H135+H141),0)</f>
        <v>585683</v>
      </c>
    </row>
    <row r="145" spans="1:8" ht="15">
      <c r="A145" s="186" t="s">
        <v>77</v>
      </c>
    </row>
    <row r="146" spans="1:8" ht="13.5" thickBot="1"/>
    <row r="147" spans="1:8">
      <c r="A147" s="1348" t="s">
        <v>213</v>
      </c>
      <c r="B147" s="1349"/>
      <c r="C147" s="1350"/>
      <c r="D147" s="448"/>
      <c r="E147" s="448"/>
      <c r="F147" s="448"/>
      <c r="G147" s="448"/>
      <c r="H147" s="449"/>
    </row>
    <row r="148" spans="1:8">
      <c r="A148" s="1351"/>
      <c r="B148" s="1352"/>
      <c r="C148" s="1353"/>
      <c r="D148" s="436"/>
      <c r="E148" s="450" t="s">
        <v>78</v>
      </c>
      <c r="F148" s="436"/>
      <c r="G148" s="436"/>
      <c r="H148" s="451"/>
    </row>
    <row r="149" spans="1:8" ht="13.5" thickBot="1">
      <c r="A149" s="1354"/>
      <c r="B149" s="1355"/>
      <c r="C149" s="1356"/>
      <c r="D149" s="1360"/>
      <c r="E149" s="1361"/>
      <c r="F149" s="1361"/>
      <c r="G149" s="1361"/>
      <c r="H149" s="1362"/>
    </row>
    <row r="150" spans="1:8">
      <c r="A150" s="455"/>
      <c r="B150" s="436"/>
      <c r="C150" s="436"/>
      <c r="D150" s="436"/>
      <c r="E150" s="436"/>
      <c r="F150" s="436"/>
      <c r="G150" s="436"/>
      <c r="H150" s="436"/>
    </row>
    <row r="151" spans="1:8">
      <c r="A151" s="455" t="s">
        <v>1228</v>
      </c>
      <c r="B151" s="456" t="str">
        <f>+PRESUPUESTO!$B$156</f>
        <v>PISOS Y ENCHAPES</v>
      </c>
      <c r="C151" s="436"/>
      <c r="E151" s="456"/>
      <c r="G151" s="456" t="s">
        <v>1123</v>
      </c>
      <c r="H151" s="436" t="str">
        <f>+PRESUPUESTO!$A$161</f>
        <v>9.1.4</v>
      </c>
    </row>
    <row r="152" spans="1:8" s="931" customFormat="1" ht="57" customHeight="1">
      <c r="A152" s="928" t="s">
        <v>1122</v>
      </c>
      <c r="B152" s="1375" t="str">
        <f>VLOOKUP(H151,PRESUPUESTO!$A$18:$F$251,2,FALSE)</f>
        <v>Suministro e instalación de enchape de baldosa perlato pulido y sellado de 35x39x1 cm sobre elemento soporte en concreto para bancas, incluye pegacor con latex para exteriores y junta con polvillo color de acuerdo a la baldosa con separación de 2 mm.</v>
      </c>
      <c r="C152" s="1375"/>
      <c r="D152" s="1375"/>
      <c r="E152" s="1375"/>
      <c r="F152" s="1375"/>
      <c r="G152" s="929" t="s">
        <v>9</v>
      </c>
      <c r="H152" s="1024" t="str">
        <f>VLOOKUP(H151,PRESUPUESTO!$A$18:$F$251,3,FALSE)</f>
        <v>m2</v>
      </c>
    </row>
    <row r="153" spans="1:8">
      <c r="A153" s="562"/>
      <c r="B153" s="562"/>
      <c r="C153" s="562"/>
      <c r="D153" s="562"/>
      <c r="E153" s="562"/>
      <c r="F153" s="562"/>
      <c r="G153" s="456"/>
      <c r="H153" s="436"/>
    </row>
    <row r="154" spans="1:8">
      <c r="A154" s="456"/>
      <c r="B154" s="456"/>
      <c r="C154" s="436"/>
      <c r="D154" s="456"/>
      <c r="E154" s="456"/>
      <c r="F154" s="456"/>
      <c r="G154" s="456"/>
      <c r="H154" s="436"/>
    </row>
    <row r="155" spans="1:8" ht="13.5" thickBot="1">
      <c r="A155" s="450" t="s">
        <v>79</v>
      </c>
      <c r="B155" s="450"/>
      <c r="C155" s="436"/>
      <c r="D155" s="436"/>
      <c r="E155" s="436"/>
      <c r="F155" s="436"/>
      <c r="G155" s="436"/>
      <c r="H155" s="436"/>
    </row>
    <row r="156" spans="1:8">
      <c r="A156" s="1345" t="s">
        <v>80</v>
      </c>
      <c r="B156" s="1346"/>
      <c r="C156" s="1347"/>
      <c r="D156" s="438" t="s">
        <v>81</v>
      </c>
      <c r="E156" s="438" t="s">
        <v>82</v>
      </c>
      <c r="F156" s="438" t="s">
        <v>83</v>
      </c>
      <c r="G156" s="439" t="s">
        <v>84</v>
      </c>
      <c r="H156" s="457"/>
    </row>
    <row r="157" spans="1:8">
      <c r="A157" s="1357" t="s">
        <v>85</v>
      </c>
      <c r="B157" s="1358"/>
      <c r="C157" s="1359"/>
      <c r="D157" s="459"/>
      <c r="E157" s="440"/>
      <c r="F157" s="440"/>
      <c r="G157" s="432">
        <f>ROUND(H181*0.05,0)</f>
        <v>1824</v>
      </c>
      <c r="H157" s="460"/>
    </row>
    <row r="158" spans="1:8">
      <c r="A158" s="1357" t="s">
        <v>239</v>
      </c>
      <c r="B158" s="1358"/>
      <c r="C158" s="1359"/>
      <c r="D158" s="461" t="s">
        <v>263</v>
      </c>
      <c r="E158" s="462">
        <v>41000</v>
      </c>
      <c r="F158" s="440">
        <f>1/F177</f>
        <v>0.15384615384615385</v>
      </c>
      <c r="G158" s="432">
        <f>E158*F158</f>
        <v>6307.6923076923076</v>
      </c>
      <c r="H158" s="460"/>
    </row>
    <row r="159" spans="1:8" ht="13.5" thickBot="1">
      <c r="A159" s="1342"/>
      <c r="B159" s="1343"/>
      <c r="C159" s="1344"/>
      <c r="D159" s="464"/>
      <c r="E159" s="433"/>
      <c r="F159" s="434"/>
      <c r="G159" s="435"/>
      <c r="H159" s="465"/>
    </row>
    <row r="160" spans="1:8" ht="13.5" thickBot="1">
      <c r="A160" s="436"/>
      <c r="B160" s="436"/>
      <c r="C160" s="436"/>
      <c r="D160" s="436"/>
      <c r="E160" s="436"/>
      <c r="F160" s="436"/>
      <c r="G160" s="437" t="s">
        <v>86</v>
      </c>
      <c r="H160" s="466">
        <f>SUM(G157:G159)</f>
        <v>8131.6923076923076</v>
      </c>
    </row>
    <row r="161" spans="1:8" ht="13.5" thickBot="1">
      <c r="A161" s="450" t="s">
        <v>87</v>
      </c>
      <c r="B161" s="450"/>
      <c r="C161" s="436"/>
      <c r="D161" s="436"/>
      <c r="E161" s="436"/>
      <c r="F161" s="436"/>
      <c r="G161" s="436"/>
      <c r="H161" s="436"/>
    </row>
    <row r="162" spans="1:8">
      <c r="A162" s="1345" t="s">
        <v>80</v>
      </c>
      <c r="B162" s="1346"/>
      <c r="C162" s="1347"/>
      <c r="D162" s="438" t="s">
        <v>88</v>
      </c>
      <c r="E162" s="438" t="s">
        <v>89</v>
      </c>
      <c r="F162" s="438" t="s">
        <v>90</v>
      </c>
      <c r="G162" s="439" t="s">
        <v>84</v>
      </c>
      <c r="H162" s="457"/>
    </row>
    <row r="163" spans="1:8">
      <c r="A163" s="458" t="s">
        <v>236</v>
      </c>
      <c r="B163" s="467"/>
      <c r="C163" s="468"/>
      <c r="D163" s="459" t="s">
        <v>237</v>
      </c>
      <c r="E163" s="430">
        <v>100700</v>
      </c>
      <c r="F163" s="440">
        <v>1</v>
      </c>
      <c r="G163" s="432">
        <f>ROUND(F163*E163,0)</f>
        <v>100700</v>
      </c>
      <c r="H163" s="460"/>
    </row>
    <row r="164" spans="1:8">
      <c r="A164" s="469" t="s">
        <v>240</v>
      </c>
      <c r="B164" s="467"/>
      <c r="C164" s="468"/>
      <c r="D164" s="459" t="s">
        <v>241</v>
      </c>
      <c r="E164" s="430">
        <v>154900</v>
      </c>
      <c r="F164" s="431">
        <f>(1/25)*7</f>
        <v>0.28000000000000003</v>
      </c>
      <c r="G164" s="432">
        <f>ROUND(F164*E164,0)</f>
        <v>43372</v>
      </c>
      <c r="H164" s="460"/>
    </row>
    <row r="165" spans="1:8">
      <c r="A165" s="469" t="s">
        <v>238</v>
      </c>
      <c r="B165" s="467"/>
      <c r="C165" s="468"/>
      <c r="D165" s="459" t="s">
        <v>241</v>
      </c>
      <c r="E165" s="430">
        <f>36900/2</f>
        <v>18450</v>
      </c>
      <c r="F165" s="431">
        <v>0.24</v>
      </c>
      <c r="G165" s="432">
        <f>ROUND(F165*E165,0)</f>
        <v>4428</v>
      </c>
      <c r="H165" s="460"/>
    </row>
    <row r="166" spans="1:8">
      <c r="A166" s="469" t="s">
        <v>351</v>
      </c>
      <c r="B166" s="467"/>
      <c r="C166" s="468"/>
      <c r="D166" s="459" t="s">
        <v>237</v>
      </c>
      <c r="E166" s="430">
        <v>32000</v>
      </c>
      <c r="F166" s="431">
        <v>1</v>
      </c>
      <c r="G166" s="432">
        <f>ROUND(F166*E166,0)</f>
        <v>32000</v>
      </c>
      <c r="H166" s="460"/>
    </row>
    <row r="167" spans="1:8">
      <c r="A167" s="469" t="s">
        <v>93</v>
      </c>
      <c r="B167" s="467"/>
      <c r="C167" s="471">
        <v>0.05</v>
      </c>
      <c r="D167" s="459"/>
      <c r="E167" s="430"/>
      <c r="F167" s="431"/>
      <c r="G167" s="432">
        <f>SUM(G163:G165)*C167</f>
        <v>7425</v>
      </c>
      <c r="H167" s="460"/>
    </row>
    <row r="168" spans="1:8" ht="13.5" thickBot="1">
      <c r="A168" s="472"/>
      <c r="B168" s="473"/>
      <c r="C168" s="474"/>
      <c r="D168" s="464"/>
      <c r="E168" s="433"/>
      <c r="F168" s="434"/>
      <c r="G168" s="435"/>
      <c r="H168" s="465"/>
    </row>
    <row r="169" spans="1:8" ht="13.5" thickBot="1">
      <c r="A169" s="436"/>
      <c r="B169" s="436"/>
      <c r="C169" s="436"/>
      <c r="D169" s="436"/>
      <c r="E169" s="436"/>
      <c r="F169" s="436"/>
      <c r="G169" s="437" t="s">
        <v>86</v>
      </c>
      <c r="H169" s="466">
        <f>SUM(G163:G168)</f>
        <v>187925</v>
      </c>
    </row>
    <row r="170" spans="1:8" ht="13.5" thickBot="1">
      <c r="A170" s="450" t="s">
        <v>94</v>
      </c>
      <c r="B170" s="450"/>
      <c r="C170" s="436"/>
      <c r="D170" s="436"/>
      <c r="E170" s="436"/>
      <c r="F170" s="436"/>
      <c r="G170" s="436"/>
      <c r="H170" s="436"/>
    </row>
    <row r="171" spans="1:8">
      <c r="A171" s="1345" t="s">
        <v>95</v>
      </c>
      <c r="B171" s="1346"/>
      <c r="C171" s="1347"/>
      <c r="D171" s="438" t="s">
        <v>88</v>
      </c>
      <c r="E171" s="438" t="s">
        <v>89</v>
      </c>
      <c r="F171" s="438" t="s">
        <v>90</v>
      </c>
      <c r="G171" s="439" t="s">
        <v>84</v>
      </c>
      <c r="H171" s="457"/>
    </row>
    <row r="172" spans="1:8">
      <c r="A172" s="458" t="s">
        <v>236</v>
      </c>
      <c r="B172" s="467"/>
      <c r="C172" s="468"/>
      <c r="D172" s="459" t="s">
        <v>237</v>
      </c>
      <c r="E172" s="430">
        <v>2000</v>
      </c>
      <c r="F172" s="440">
        <v>1</v>
      </c>
      <c r="G172" s="440">
        <f>+F172*E172</f>
        <v>2000</v>
      </c>
      <c r="H172" s="460"/>
    </row>
    <row r="173" spans="1:8" ht="13.5" thickBot="1">
      <c r="A173" s="1342" t="s">
        <v>235</v>
      </c>
      <c r="B173" s="1343"/>
      <c r="C173" s="1344"/>
      <c r="D173" s="475" t="s">
        <v>237</v>
      </c>
      <c r="E173" s="433">
        <v>14500</v>
      </c>
      <c r="F173" s="434">
        <f>1/5</f>
        <v>0.2</v>
      </c>
      <c r="G173" s="441">
        <f>+F173*E173</f>
        <v>2900</v>
      </c>
      <c r="H173" s="460"/>
    </row>
    <row r="174" spans="1:8" ht="13.5" thickBot="1">
      <c r="A174" s="436"/>
      <c r="B174" s="436"/>
      <c r="C174" s="436"/>
      <c r="D174" s="436"/>
      <c r="E174" s="436"/>
      <c r="F174" s="436"/>
      <c r="G174" s="437" t="s">
        <v>86</v>
      </c>
      <c r="H174" s="466">
        <f>SUM(G172:G173)</f>
        <v>4900</v>
      </c>
    </row>
    <row r="175" spans="1:8" ht="13.5" thickBot="1">
      <c r="A175" s="450" t="s">
        <v>96</v>
      </c>
      <c r="B175" s="450"/>
      <c r="C175" s="436"/>
      <c r="D175" s="436"/>
      <c r="E175" s="436"/>
      <c r="F175" s="436"/>
      <c r="G175" s="436"/>
      <c r="H175" s="436"/>
    </row>
    <row r="176" spans="1:8">
      <c r="A176" s="476" t="s">
        <v>97</v>
      </c>
      <c r="B176" s="438"/>
      <c r="C176" s="438" t="s">
        <v>98</v>
      </c>
      <c r="D176" s="438" t="s">
        <v>99</v>
      </c>
      <c r="E176" s="442" t="s">
        <v>100</v>
      </c>
      <c r="F176" s="443" t="s">
        <v>83</v>
      </c>
      <c r="G176" s="444" t="s">
        <v>84</v>
      </c>
      <c r="H176" s="477"/>
    </row>
    <row r="177" spans="1:8">
      <c r="A177" s="478" t="s">
        <v>227</v>
      </c>
      <c r="B177" s="468"/>
      <c r="C177" s="479">
        <f>PERSONAL!$E$31</f>
        <v>48800</v>
      </c>
      <c r="D177" s="480">
        <f>PERSONAL!$F$31</f>
        <v>1.7431000000000001</v>
      </c>
      <c r="E177" s="440">
        <f>+D177*C177</f>
        <v>85063.28</v>
      </c>
      <c r="F177" s="440">
        <v>6.5</v>
      </c>
      <c r="G177" s="445">
        <f>ROUND(E177/F177,0)</f>
        <v>13087</v>
      </c>
      <c r="H177" s="451"/>
    </row>
    <row r="178" spans="1:8">
      <c r="A178" s="478" t="s">
        <v>101</v>
      </c>
      <c r="B178" s="467"/>
      <c r="C178" s="479">
        <f>PERSONAL!$E$32</f>
        <v>87200</v>
      </c>
      <c r="D178" s="480">
        <f>PERSONAL!$F$31</f>
        <v>1.7431000000000001</v>
      </c>
      <c r="E178" s="440">
        <f>+D178*C178</f>
        <v>151998.32</v>
      </c>
      <c r="F178" s="440">
        <f>+F177</f>
        <v>6.5</v>
      </c>
      <c r="G178" s="445">
        <f>ROUND(E178/F178,0)</f>
        <v>23384</v>
      </c>
      <c r="H178" s="451"/>
    </row>
    <row r="179" spans="1:8">
      <c r="A179" s="478"/>
      <c r="B179" s="468"/>
      <c r="C179" s="430"/>
      <c r="D179" s="459"/>
      <c r="E179" s="430"/>
      <c r="F179" s="440"/>
      <c r="G179" s="445"/>
      <c r="H179" s="451"/>
    </row>
    <row r="180" spans="1:8" ht="13.5" thickBot="1">
      <c r="A180" s="481"/>
      <c r="B180" s="474"/>
      <c r="C180" s="474"/>
      <c r="D180" s="474"/>
      <c r="E180" s="474"/>
      <c r="F180" s="474"/>
      <c r="G180" s="482"/>
      <c r="H180" s="482"/>
    </row>
    <row r="181" spans="1:8" ht="13.5" thickBot="1">
      <c r="A181" s="436"/>
      <c r="B181" s="436"/>
      <c r="C181" s="436"/>
      <c r="D181" s="436"/>
      <c r="E181" s="436"/>
      <c r="F181" s="436"/>
      <c r="G181" s="437" t="s">
        <v>86</v>
      </c>
      <c r="H181" s="466">
        <f>SUM(G177:G180)</f>
        <v>36471</v>
      </c>
    </row>
    <row r="182" spans="1:8" ht="13.5" thickBot="1">
      <c r="A182" s="436"/>
      <c r="B182" s="436"/>
      <c r="C182" s="436"/>
      <c r="D182" s="436"/>
      <c r="E182" s="436"/>
      <c r="F182" s="436"/>
      <c r="G182" s="483"/>
      <c r="H182" s="436"/>
    </row>
    <row r="183" spans="1:8" ht="13.5" thickBot="1">
      <c r="A183" s="436"/>
      <c r="B183" s="436"/>
      <c r="C183" s="436"/>
      <c r="D183" s="436"/>
      <c r="E183" s="484" t="s">
        <v>102</v>
      </c>
      <c r="F183" s="485"/>
      <c r="G183" s="485"/>
      <c r="H183" s="466">
        <f>H160+H169+H174+H181</f>
        <v>237427.69230769231</v>
      </c>
    </row>
    <row r="184" spans="1:8" ht="13.5" thickBot="1">
      <c r="A184" s="450" t="s">
        <v>103</v>
      </c>
      <c r="B184" s="450"/>
      <c r="C184" s="436"/>
      <c r="D184" s="436"/>
      <c r="E184" s="436"/>
      <c r="F184" s="436"/>
      <c r="G184" s="436"/>
      <c r="H184" s="436"/>
    </row>
    <row r="185" spans="1:8">
      <c r="A185" s="487" t="s">
        <v>80</v>
      </c>
      <c r="B185" s="488"/>
      <c r="C185" s="488"/>
      <c r="D185" s="488"/>
      <c r="E185" s="489"/>
      <c r="F185" s="490" t="s">
        <v>104</v>
      </c>
      <c r="G185" s="491" t="s">
        <v>105</v>
      </c>
      <c r="H185" s="457"/>
    </row>
    <row r="186" spans="1:8">
      <c r="A186" s="469" t="s">
        <v>106</v>
      </c>
      <c r="B186" s="467"/>
      <c r="C186" s="467"/>
      <c r="D186" s="467"/>
      <c r="E186" s="468"/>
      <c r="F186" s="492">
        <f>PRESUPUESTO!$E$222</f>
        <v>0.109</v>
      </c>
      <c r="G186" s="493">
        <f>+F186*H183</f>
        <v>25879.618461538463</v>
      </c>
      <c r="H186" s="550"/>
    </row>
    <row r="187" spans="1:8">
      <c r="A187" s="469" t="s">
        <v>107</v>
      </c>
      <c r="B187" s="467"/>
      <c r="C187" s="467"/>
      <c r="D187" s="467"/>
      <c r="E187" s="468"/>
      <c r="F187" s="492">
        <f>PRESUPUESTO!$E$223</f>
        <v>0.05</v>
      </c>
      <c r="G187" s="493">
        <f>+F187*H183</f>
        <v>11871.384615384617</v>
      </c>
      <c r="H187" s="550"/>
    </row>
    <row r="188" spans="1:8" ht="13.5" thickBot="1">
      <c r="A188" s="472" t="s">
        <v>108</v>
      </c>
      <c r="B188" s="473"/>
      <c r="C188" s="473"/>
      <c r="D188" s="473"/>
      <c r="E188" s="474"/>
      <c r="F188" s="494">
        <v>0</v>
      </c>
      <c r="G188" s="495">
        <f>+F188*H183</f>
        <v>0</v>
      </c>
      <c r="H188" s="465"/>
    </row>
    <row r="189" spans="1:8" ht="13.5" thickBot="1">
      <c r="A189" s="436"/>
      <c r="B189" s="436"/>
      <c r="C189" s="436"/>
      <c r="D189" s="436"/>
      <c r="E189" s="436"/>
      <c r="F189" s="436"/>
      <c r="G189" s="437" t="s">
        <v>86</v>
      </c>
      <c r="H189" s="496">
        <f>SUM(G186:G188)</f>
        <v>37751.00307692308</v>
      </c>
    </row>
    <row r="190" spans="1:8" ht="13.5" thickBot="1">
      <c r="A190" s="436"/>
      <c r="B190" s="436"/>
      <c r="C190" s="436"/>
      <c r="D190" s="436"/>
      <c r="E190" s="436"/>
      <c r="F190" s="436"/>
      <c r="G190" s="436"/>
      <c r="H190" s="436"/>
    </row>
    <row r="191" spans="1:8" ht="13.5" thickBot="1">
      <c r="C191" s="436"/>
      <c r="D191" s="484" t="s">
        <v>109</v>
      </c>
      <c r="E191" s="485"/>
      <c r="F191" s="485"/>
      <c r="G191" s="485"/>
      <c r="H191" s="466">
        <f>ROUND((H183+H189),0)</f>
        <v>275179</v>
      </c>
    </row>
    <row r="193" spans="1:8" ht="15">
      <c r="A193" s="186" t="s">
        <v>77</v>
      </c>
    </row>
    <row r="194" spans="1:8" ht="13.5" thickBot="1"/>
    <row r="195" spans="1:8">
      <c r="A195" s="1348" t="s">
        <v>213</v>
      </c>
      <c r="B195" s="1349"/>
      <c r="C195" s="1350"/>
      <c r="D195" s="448"/>
      <c r="E195" s="448"/>
      <c r="F195" s="448"/>
      <c r="G195" s="448"/>
      <c r="H195" s="449"/>
    </row>
    <row r="196" spans="1:8">
      <c r="A196" s="1351"/>
      <c r="B196" s="1352"/>
      <c r="C196" s="1353"/>
      <c r="D196" s="436"/>
      <c r="E196" s="450" t="s">
        <v>78</v>
      </c>
      <c r="F196" s="436"/>
      <c r="G196" s="436"/>
      <c r="H196" s="451"/>
    </row>
    <row r="197" spans="1:8" ht="13.5" thickBot="1">
      <c r="A197" s="1354"/>
      <c r="B197" s="1355"/>
      <c r="C197" s="1356"/>
      <c r="D197" s="1360"/>
      <c r="E197" s="1361"/>
      <c r="F197" s="1361"/>
      <c r="G197" s="1361"/>
      <c r="H197" s="1362"/>
    </row>
    <row r="198" spans="1:8">
      <c r="A198" s="455"/>
      <c r="B198" s="436"/>
      <c r="C198" s="436"/>
      <c r="D198" s="436"/>
      <c r="E198" s="436"/>
      <c r="F198" s="436"/>
      <c r="G198" s="436"/>
      <c r="H198" s="436"/>
    </row>
    <row r="199" spans="1:8">
      <c r="A199" s="455" t="s">
        <v>1228</v>
      </c>
      <c r="B199" s="456" t="str">
        <f>+PRESUPUESTO!$B$156</f>
        <v>PISOS Y ENCHAPES</v>
      </c>
      <c r="C199" s="436"/>
      <c r="E199" s="456"/>
      <c r="G199" s="456" t="s">
        <v>1123</v>
      </c>
      <c r="H199" s="436" t="str">
        <f>+PRESUPUESTO!$A$163</f>
        <v>9.2.1</v>
      </c>
    </row>
    <row r="200" spans="1:8" s="931" customFormat="1" ht="57" customHeight="1">
      <c r="A200" s="928" t="s">
        <v>1122</v>
      </c>
      <c r="B200" s="1375" t="str">
        <f>VLOOKUP(H199,PRESUPUESTO!$A$18:$F$251,2,FALSE)</f>
        <v>Suministro e instalación de mortero 1:4 para afinado de piso en locales comerciales, e = 5 cm.</v>
      </c>
      <c r="C200" s="1375"/>
      <c r="D200" s="1375"/>
      <c r="E200" s="1375"/>
      <c r="F200" s="1375"/>
      <c r="G200" s="929" t="s">
        <v>9</v>
      </c>
      <c r="H200" s="1024" t="str">
        <f>VLOOKUP(H199,PRESUPUESTO!$A$18:$F$251,3,FALSE)</f>
        <v>m2</v>
      </c>
    </row>
    <row r="201" spans="1:8">
      <c r="A201" s="562"/>
      <c r="B201" s="562"/>
      <c r="C201" s="562"/>
      <c r="D201" s="562"/>
      <c r="E201" s="562"/>
      <c r="F201" s="562"/>
      <c r="G201" s="456"/>
      <c r="H201" s="436"/>
    </row>
    <row r="202" spans="1:8">
      <c r="A202" s="456"/>
      <c r="B202" s="456"/>
      <c r="C202" s="436"/>
      <c r="D202" s="456"/>
      <c r="E202" s="456"/>
      <c r="F202" s="456"/>
      <c r="G202" s="456"/>
      <c r="H202" s="436"/>
    </row>
    <row r="203" spans="1:8" ht="13.5" thickBot="1">
      <c r="A203" s="450" t="s">
        <v>79</v>
      </c>
      <c r="B203" s="450"/>
      <c r="C203" s="436"/>
      <c r="D203" s="436"/>
      <c r="E203" s="436"/>
      <c r="F203" s="436"/>
      <c r="G203" s="436"/>
      <c r="H203" s="436"/>
    </row>
    <row r="204" spans="1:8">
      <c r="A204" s="1345" t="s">
        <v>80</v>
      </c>
      <c r="B204" s="1346"/>
      <c r="C204" s="1347"/>
      <c r="D204" s="438" t="s">
        <v>81</v>
      </c>
      <c r="E204" s="438" t="s">
        <v>82</v>
      </c>
      <c r="F204" s="438" t="s">
        <v>83</v>
      </c>
      <c r="G204" s="439" t="s">
        <v>84</v>
      </c>
      <c r="H204" s="457"/>
    </row>
    <row r="205" spans="1:8">
      <c r="A205" s="1357" t="s">
        <v>85</v>
      </c>
      <c r="B205" s="1358"/>
      <c r="C205" s="1359"/>
      <c r="D205" s="459"/>
      <c r="E205" s="440"/>
      <c r="F205" s="440"/>
      <c r="G205" s="432">
        <f>ROUND(H229*0.05,0)</f>
        <v>593</v>
      </c>
      <c r="H205" s="460"/>
    </row>
    <row r="206" spans="1:8">
      <c r="A206" s="1357"/>
      <c r="B206" s="1358"/>
      <c r="C206" s="1359"/>
      <c r="D206" s="461"/>
      <c r="E206" s="462"/>
      <c r="F206" s="440"/>
      <c r="G206" s="432"/>
      <c r="H206" s="460"/>
    </row>
    <row r="207" spans="1:8" ht="13.5" thickBot="1">
      <c r="A207" s="1342"/>
      <c r="B207" s="1343"/>
      <c r="C207" s="1344"/>
      <c r="D207" s="464"/>
      <c r="E207" s="433"/>
      <c r="F207" s="434"/>
      <c r="G207" s="435"/>
      <c r="H207" s="465"/>
    </row>
    <row r="208" spans="1:8" ht="13.5" thickBot="1">
      <c r="A208" s="436"/>
      <c r="B208" s="436"/>
      <c r="C208" s="436"/>
      <c r="D208" s="436"/>
      <c r="E208" s="436"/>
      <c r="F208" s="436"/>
      <c r="G208" s="437" t="s">
        <v>86</v>
      </c>
      <c r="H208" s="466">
        <f>SUM(G205:G207)</f>
        <v>593</v>
      </c>
    </row>
    <row r="209" spans="1:8" ht="13.5" thickBot="1">
      <c r="A209" s="450" t="s">
        <v>87</v>
      </c>
      <c r="B209" s="450"/>
      <c r="C209" s="436"/>
      <c r="D209" s="436"/>
      <c r="E209" s="436"/>
      <c r="F209" s="436"/>
      <c r="G209" s="436"/>
      <c r="H209" s="436"/>
    </row>
    <row r="210" spans="1:8">
      <c r="A210" s="1345" t="s">
        <v>80</v>
      </c>
      <c r="B210" s="1346"/>
      <c r="C210" s="1347"/>
      <c r="D210" s="438" t="s">
        <v>88</v>
      </c>
      <c r="E210" s="438" t="s">
        <v>89</v>
      </c>
      <c r="F210" s="438" t="s">
        <v>90</v>
      </c>
      <c r="G210" s="439" t="s">
        <v>84</v>
      </c>
      <c r="H210" s="457"/>
    </row>
    <row r="211" spans="1:8">
      <c r="A211" s="458" t="s">
        <v>245</v>
      </c>
      <c r="B211" s="467"/>
      <c r="C211" s="468"/>
      <c r="D211" s="459" t="s">
        <v>234</v>
      </c>
      <c r="E211" s="674">
        <f>APA!H84</f>
        <v>504807.89333333331</v>
      </c>
      <c r="F211" s="431">
        <v>0.05</v>
      </c>
      <c r="G211" s="432">
        <f>ROUND(F211*E211,0)</f>
        <v>25240</v>
      </c>
      <c r="H211" s="460"/>
    </row>
    <row r="212" spans="1:8">
      <c r="A212" s="469"/>
      <c r="B212" s="467"/>
      <c r="C212" s="468"/>
      <c r="D212" s="459"/>
      <c r="E212" s="459"/>
      <c r="F212" s="470"/>
      <c r="G212" s="432"/>
      <c r="H212" s="460"/>
    </row>
    <row r="213" spans="1:8">
      <c r="A213" s="469"/>
      <c r="B213" s="467"/>
      <c r="C213" s="468"/>
      <c r="D213" s="459"/>
      <c r="E213" s="430"/>
      <c r="F213" s="470"/>
      <c r="G213" s="432"/>
      <c r="H213" s="460"/>
    </row>
    <row r="214" spans="1:8">
      <c r="A214" s="469" t="s">
        <v>93</v>
      </c>
      <c r="B214" s="467"/>
      <c r="C214" s="471">
        <v>0.05</v>
      </c>
      <c r="D214" s="459"/>
      <c r="E214" s="430"/>
      <c r="F214" s="431"/>
      <c r="G214" s="432">
        <f>SUM(G211:G213)*C214</f>
        <v>1262</v>
      </c>
      <c r="H214" s="460"/>
    </row>
    <row r="215" spans="1:8" ht="13.5" thickBot="1">
      <c r="A215" s="472"/>
      <c r="B215" s="473"/>
      <c r="C215" s="474"/>
      <c r="D215" s="464"/>
      <c r="E215" s="433"/>
      <c r="F215" s="434"/>
      <c r="G215" s="435"/>
      <c r="H215" s="465"/>
    </row>
    <row r="216" spans="1:8" ht="13.5" thickBot="1">
      <c r="A216" s="436"/>
      <c r="B216" s="436"/>
      <c r="C216" s="436"/>
      <c r="D216" s="436"/>
      <c r="E216" s="436"/>
      <c r="F216" s="436"/>
      <c r="G216" s="437" t="s">
        <v>86</v>
      </c>
      <c r="H216" s="466">
        <f>SUM(G211:G216)</f>
        <v>26502</v>
      </c>
    </row>
    <row r="217" spans="1:8" ht="13.5" thickBot="1">
      <c r="A217" s="450" t="s">
        <v>94</v>
      </c>
      <c r="B217" s="450"/>
      <c r="C217" s="436"/>
      <c r="D217" s="436"/>
      <c r="E217" s="436"/>
      <c r="F217" s="436"/>
      <c r="G217" s="436"/>
      <c r="H217" s="436"/>
    </row>
    <row r="218" spans="1:8">
      <c r="A218" s="1345" t="s">
        <v>95</v>
      </c>
      <c r="B218" s="1346"/>
      <c r="C218" s="1347"/>
      <c r="D218" s="438" t="s">
        <v>88</v>
      </c>
      <c r="E218" s="438" t="s">
        <v>89</v>
      </c>
      <c r="F218" s="438" t="s">
        <v>90</v>
      </c>
      <c r="G218" s="439" t="s">
        <v>84</v>
      </c>
      <c r="H218" s="457"/>
    </row>
    <row r="219" spans="1:8">
      <c r="A219" s="1357" t="s">
        <v>235</v>
      </c>
      <c r="B219" s="1358"/>
      <c r="C219" s="1359"/>
      <c r="D219" s="553" t="s">
        <v>237</v>
      </c>
      <c r="E219" s="711">
        <v>14500</v>
      </c>
      <c r="F219" s="554">
        <f>+F211*1.05</f>
        <v>5.2500000000000005E-2</v>
      </c>
      <c r="G219" s="440">
        <f>+F219*E219</f>
        <v>761.25000000000011</v>
      </c>
      <c r="H219" s="460"/>
    </row>
    <row r="220" spans="1:8" ht="13.5" thickBot="1">
      <c r="A220" s="1342"/>
      <c r="B220" s="1343"/>
      <c r="C220" s="1344"/>
      <c r="D220" s="501"/>
      <c r="E220" s="501"/>
      <c r="F220" s="501"/>
      <c r="G220" s="555"/>
      <c r="H220" s="460"/>
    </row>
    <row r="221" spans="1:8" ht="13.5" thickBot="1">
      <c r="A221" s="436"/>
      <c r="B221" s="436"/>
      <c r="C221" s="436"/>
      <c r="D221" s="436"/>
      <c r="E221" s="436"/>
      <c r="F221" s="436"/>
      <c r="G221" s="437" t="s">
        <v>86</v>
      </c>
      <c r="H221" s="466">
        <f>SUM(G219:G220)</f>
        <v>761.25000000000011</v>
      </c>
    </row>
    <row r="222" spans="1:8" ht="13.5" thickBot="1">
      <c r="A222" s="450" t="s">
        <v>96</v>
      </c>
      <c r="B222" s="450"/>
      <c r="C222" s="436"/>
      <c r="D222" s="436"/>
      <c r="E222" s="436"/>
      <c r="F222" s="436"/>
      <c r="G222" s="436"/>
      <c r="H222" s="436"/>
    </row>
    <row r="223" spans="1:8">
      <c r="A223" s="476" t="s">
        <v>97</v>
      </c>
      <c r="B223" s="438"/>
      <c r="C223" s="438" t="s">
        <v>98</v>
      </c>
      <c r="D223" s="438" t="s">
        <v>99</v>
      </c>
      <c r="E223" s="442" t="s">
        <v>100</v>
      </c>
      <c r="F223" s="443" t="s">
        <v>83</v>
      </c>
      <c r="G223" s="444" t="s">
        <v>84</v>
      </c>
      <c r="H223" s="477"/>
    </row>
    <row r="224" spans="1:8">
      <c r="A224" s="478" t="s">
        <v>227</v>
      </c>
      <c r="B224" s="468"/>
      <c r="C224" s="479">
        <f>PERSONAL!$E$31</f>
        <v>48800</v>
      </c>
      <c r="D224" s="480">
        <f>PERSONAL!$F$31</f>
        <v>1.7431000000000001</v>
      </c>
      <c r="E224" s="440">
        <f>+D224*C224</f>
        <v>85063.28</v>
      </c>
      <c r="F224" s="440">
        <v>20</v>
      </c>
      <c r="G224" s="445">
        <f>ROUND(E224/F224,0)</f>
        <v>4253</v>
      </c>
      <c r="H224" s="451"/>
    </row>
    <row r="225" spans="1:9">
      <c r="A225" s="478" t="s">
        <v>101</v>
      </c>
      <c r="B225" s="467"/>
      <c r="C225" s="479">
        <f>PERSONAL!$E$32</f>
        <v>87200</v>
      </c>
      <c r="D225" s="480">
        <f>PERSONAL!$F$31</f>
        <v>1.7431000000000001</v>
      </c>
      <c r="E225" s="440">
        <f>+D225*C225</f>
        <v>151998.32</v>
      </c>
      <c r="F225" s="440">
        <f>+F224</f>
        <v>20</v>
      </c>
      <c r="G225" s="445">
        <f>ROUND(E225/F225,0)</f>
        <v>7600</v>
      </c>
      <c r="H225" s="451"/>
    </row>
    <row r="226" spans="1:9">
      <c r="A226" s="478"/>
      <c r="B226" s="468"/>
      <c r="C226" s="430"/>
      <c r="D226" s="459"/>
      <c r="E226" s="430"/>
      <c r="F226" s="440"/>
      <c r="G226" s="445"/>
      <c r="H226" s="451"/>
    </row>
    <row r="227" spans="1:9">
      <c r="A227" s="478"/>
      <c r="B227" s="468"/>
      <c r="C227" s="430"/>
      <c r="D227" s="459"/>
      <c r="E227" s="430"/>
      <c r="F227" s="440"/>
      <c r="G227" s="445"/>
      <c r="H227" s="451"/>
    </row>
    <row r="228" spans="1:9" ht="13.5" thickBot="1">
      <c r="A228" s="481"/>
      <c r="B228" s="474"/>
      <c r="C228" s="474"/>
      <c r="D228" s="474"/>
      <c r="E228" s="474"/>
      <c r="F228" s="474"/>
      <c r="G228" s="482"/>
      <c r="H228" s="482"/>
    </row>
    <row r="229" spans="1:9" ht="13.5" thickBot="1">
      <c r="A229" s="436"/>
      <c r="B229" s="436"/>
      <c r="C229" s="436"/>
      <c r="D229" s="436"/>
      <c r="E229" s="436"/>
      <c r="F229" s="436"/>
      <c r="G229" s="437" t="s">
        <v>86</v>
      </c>
      <c r="H229" s="466">
        <f>SUM(G224:G227)</f>
        <v>11853</v>
      </c>
      <c r="I229" s="712">
        <f>+H229/H231</f>
        <v>0.29849468322871875</v>
      </c>
    </row>
    <row r="230" spans="1:9" ht="13.5" thickBot="1">
      <c r="A230" s="436"/>
      <c r="B230" s="436"/>
      <c r="C230" s="436"/>
      <c r="D230" s="436"/>
      <c r="E230" s="436"/>
      <c r="F230" s="436"/>
      <c r="G230" s="483"/>
      <c r="H230" s="436"/>
    </row>
    <row r="231" spans="1:9" ht="13.5" thickBot="1">
      <c r="A231" s="436"/>
      <c r="B231" s="436"/>
      <c r="C231" s="436"/>
      <c r="D231" s="436"/>
      <c r="E231" s="484" t="s">
        <v>102</v>
      </c>
      <c r="F231" s="485"/>
      <c r="G231" s="485"/>
      <c r="H231" s="466">
        <f>H208+H216+H221+H229</f>
        <v>39709.25</v>
      </c>
    </row>
    <row r="232" spans="1:9" ht="13.5" thickBot="1">
      <c r="A232" s="450" t="s">
        <v>103</v>
      </c>
      <c r="B232" s="450"/>
      <c r="C232" s="436"/>
      <c r="D232" s="436"/>
      <c r="E232" s="436"/>
      <c r="F232" s="436"/>
      <c r="G232" s="436"/>
      <c r="H232" s="436"/>
    </row>
    <row r="233" spans="1:9">
      <c r="A233" s="487" t="s">
        <v>80</v>
      </c>
      <c r="B233" s="488"/>
      <c r="C233" s="488"/>
      <c r="D233" s="488"/>
      <c r="E233" s="489"/>
      <c r="F233" s="490" t="s">
        <v>104</v>
      </c>
      <c r="G233" s="491" t="s">
        <v>105</v>
      </c>
      <c r="H233" s="457"/>
    </row>
    <row r="234" spans="1:9">
      <c r="A234" s="469" t="s">
        <v>106</v>
      </c>
      <c r="B234" s="467"/>
      <c r="C234" s="467"/>
      <c r="D234" s="467"/>
      <c r="E234" s="468"/>
      <c r="F234" s="492">
        <f>PRESUPUESTO!$E$222</f>
        <v>0.109</v>
      </c>
      <c r="G234" s="493">
        <f>+F234*H231</f>
        <v>4328.30825</v>
      </c>
      <c r="H234" s="550"/>
    </row>
    <row r="235" spans="1:9">
      <c r="A235" s="469" t="s">
        <v>107</v>
      </c>
      <c r="B235" s="467"/>
      <c r="C235" s="467"/>
      <c r="D235" s="467"/>
      <c r="E235" s="468"/>
      <c r="F235" s="492">
        <f>PRESUPUESTO!$E$223</f>
        <v>0.05</v>
      </c>
      <c r="G235" s="493">
        <f>+F235*H231</f>
        <v>1985.4625000000001</v>
      </c>
      <c r="H235" s="550"/>
    </row>
    <row r="236" spans="1:9" ht="13.5" thickBot="1">
      <c r="A236" s="472" t="s">
        <v>108</v>
      </c>
      <c r="B236" s="473"/>
      <c r="C236" s="473"/>
      <c r="D236" s="473"/>
      <c r="E236" s="474"/>
      <c r="F236" s="494">
        <v>0</v>
      </c>
      <c r="G236" s="495">
        <f>+F236*H231</f>
        <v>0</v>
      </c>
      <c r="H236" s="465"/>
    </row>
    <row r="237" spans="1:9" ht="13.5" thickBot="1">
      <c r="A237" s="436"/>
      <c r="B237" s="436"/>
      <c r="C237" s="436"/>
      <c r="D237" s="436"/>
      <c r="E237" s="436"/>
      <c r="F237" s="436"/>
      <c r="G237" s="437" t="s">
        <v>86</v>
      </c>
      <c r="H237" s="496">
        <f>SUM(G234:G236)</f>
        <v>6313.7707499999997</v>
      </c>
    </row>
    <row r="238" spans="1:9" ht="13.5" thickBot="1">
      <c r="A238" s="436"/>
      <c r="B238" s="436"/>
      <c r="C238" s="436"/>
      <c r="D238" s="436"/>
      <c r="E238" s="436"/>
      <c r="F238" s="436"/>
      <c r="G238" s="436"/>
      <c r="H238" s="436"/>
    </row>
    <row r="239" spans="1:9" ht="13.5" thickBot="1">
      <c r="C239" s="436"/>
      <c r="D239" s="484" t="s">
        <v>109</v>
      </c>
      <c r="E239" s="485"/>
      <c r="F239" s="485"/>
      <c r="G239" s="485"/>
      <c r="H239" s="466">
        <f>ROUND((H231+H237),0)</f>
        <v>46023</v>
      </c>
    </row>
    <row r="241" spans="1:8" ht="15">
      <c r="A241" s="186" t="s">
        <v>77</v>
      </c>
    </row>
    <row r="242" spans="1:8" ht="13.5" thickBot="1"/>
    <row r="243" spans="1:8">
      <c r="A243" s="1348" t="s">
        <v>213</v>
      </c>
      <c r="B243" s="1349"/>
      <c r="C243" s="1350"/>
      <c r="D243" s="448"/>
      <c r="E243" s="448"/>
      <c r="F243" s="448"/>
      <c r="G243" s="448"/>
      <c r="H243" s="449"/>
    </row>
    <row r="244" spans="1:8">
      <c r="A244" s="1351"/>
      <c r="B244" s="1352"/>
      <c r="C244" s="1353"/>
      <c r="D244" s="436"/>
      <c r="E244" s="450" t="s">
        <v>78</v>
      </c>
      <c r="F244" s="436"/>
      <c r="G244" s="436"/>
      <c r="H244" s="451"/>
    </row>
    <row r="245" spans="1:8" ht="13.5" thickBot="1">
      <c r="A245" s="1354"/>
      <c r="B245" s="1355"/>
      <c r="C245" s="1356"/>
      <c r="D245" s="452"/>
      <c r="E245" s="453"/>
      <c r="F245" s="453"/>
      <c r="G245" s="453"/>
      <c r="H245" s="454"/>
    </row>
    <row r="246" spans="1:8">
      <c r="A246" s="455"/>
      <c r="B246" s="436"/>
      <c r="C246" s="436"/>
      <c r="D246" s="436"/>
      <c r="E246" s="436"/>
      <c r="F246" s="436"/>
      <c r="G246" s="436"/>
      <c r="H246" s="436"/>
    </row>
    <row r="247" spans="1:8">
      <c r="A247" s="455" t="s">
        <v>1228</v>
      </c>
      <c r="B247" s="456" t="str">
        <f>+PRESUPUESTO!$B$156</f>
        <v>PISOS Y ENCHAPES</v>
      </c>
      <c r="C247" s="436"/>
      <c r="E247" s="456"/>
      <c r="G247" s="456" t="s">
        <v>1123</v>
      </c>
      <c r="H247" s="436" t="str">
        <f>+PRESUPUESTO!$A$164</f>
        <v>9.2.2</v>
      </c>
    </row>
    <row r="248" spans="1:8" s="931" customFormat="1" ht="57" customHeight="1">
      <c r="A248" s="928" t="s">
        <v>1122</v>
      </c>
      <c r="B248" s="1375" t="str">
        <f>VLOOKUP(H247,PRESUPUESTO!$A$18:$F$251,2,FALSE)</f>
        <v>Suministro e instalación de piso en royal beta color beteado pulido y brillado de 40x100x3 cm en modulaciones a mitad de baldosa, incluye pegacor con latex para exteriores y junta con polvillo color de acuerdo a la baldosa con separación de 2mm..</v>
      </c>
      <c r="C248" s="1375"/>
      <c r="D248" s="1375"/>
      <c r="E248" s="1375"/>
      <c r="F248" s="1375"/>
      <c r="G248" s="929" t="s">
        <v>9</v>
      </c>
      <c r="H248" s="1024" t="str">
        <f>VLOOKUP(H247,PRESUPUESTO!$A$18:$F$251,3,FALSE)</f>
        <v>m2</v>
      </c>
    </row>
    <row r="249" spans="1:8">
      <c r="A249" s="562"/>
      <c r="B249" s="562"/>
      <c r="C249" s="562"/>
      <c r="D249" s="562"/>
      <c r="E249" s="562"/>
      <c r="F249" s="562"/>
      <c r="G249" s="456"/>
      <c r="H249" s="436"/>
    </row>
    <row r="250" spans="1:8">
      <c r="A250" s="456"/>
      <c r="B250" s="456"/>
      <c r="C250" s="436"/>
      <c r="D250" s="456"/>
      <c r="E250" s="456"/>
      <c r="F250" s="456"/>
      <c r="G250" s="456"/>
      <c r="H250" s="436"/>
    </row>
    <row r="251" spans="1:8" ht="13.5" thickBot="1">
      <c r="A251" s="450" t="s">
        <v>79</v>
      </c>
      <c r="B251" s="450"/>
      <c r="C251" s="436"/>
      <c r="D251" s="436"/>
      <c r="E251" s="436"/>
      <c r="F251" s="436"/>
      <c r="G251" s="436"/>
      <c r="H251" s="436"/>
    </row>
    <row r="252" spans="1:8">
      <c r="A252" s="1345" t="s">
        <v>80</v>
      </c>
      <c r="B252" s="1346"/>
      <c r="C252" s="1347"/>
      <c r="D252" s="438" t="s">
        <v>81</v>
      </c>
      <c r="E252" s="438" t="s">
        <v>82</v>
      </c>
      <c r="F252" s="438" t="s">
        <v>83</v>
      </c>
      <c r="G252" s="439" t="s">
        <v>84</v>
      </c>
      <c r="H252" s="457"/>
    </row>
    <row r="253" spans="1:8">
      <c r="A253" s="1357" t="s">
        <v>85</v>
      </c>
      <c r="B253" s="1358"/>
      <c r="C253" s="1359"/>
      <c r="D253" s="459"/>
      <c r="E253" s="440"/>
      <c r="F253" s="440"/>
      <c r="G253" s="432">
        <f>ROUND(H277*0.05,0)</f>
        <v>2155</v>
      </c>
      <c r="H253" s="460"/>
    </row>
    <row r="254" spans="1:8">
      <c r="A254" s="1357" t="s">
        <v>239</v>
      </c>
      <c r="B254" s="1358"/>
      <c r="C254" s="1359"/>
      <c r="D254" s="461" t="s">
        <v>263</v>
      </c>
      <c r="E254" s="462">
        <f>MATERIALES!$C$5</f>
        <v>13900</v>
      </c>
      <c r="F254" s="440">
        <f>1/F273</f>
        <v>0.18181818181818182</v>
      </c>
      <c r="G254" s="432">
        <f>E254*F254</f>
        <v>2527.2727272727275</v>
      </c>
      <c r="H254" s="460"/>
    </row>
    <row r="255" spans="1:8" ht="13.5" thickBot="1">
      <c r="A255" s="1342"/>
      <c r="B255" s="1343"/>
      <c r="C255" s="1344"/>
      <c r="D255" s="464"/>
      <c r="E255" s="433"/>
      <c r="F255" s="434"/>
      <c r="G255" s="435"/>
      <c r="H255" s="465"/>
    </row>
    <row r="256" spans="1:8" ht="13.5" thickBot="1">
      <c r="A256" s="436"/>
      <c r="B256" s="436"/>
      <c r="C256" s="436"/>
      <c r="D256" s="436"/>
      <c r="E256" s="436"/>
      <c r="F256" s="436"/>
      <c r="G256" s="437" t="s">
        <v>86</v>
      </c>
      <c r="H256" s="466">
        <f>SUM(G253:G255)</f>
        <v>4682.2727272727279</v>
      </c>
    </row>
    <row r="257" spans="1:9" ht="13.5" thickBot="1">
      <c r="A257" s="450" t="s">
        <v>87</v>
      </c>
      <c r="B257" s="450"/>
      <c r="C257" s="436"/>
      <c r="D257" s="436"/>
      <c r="E257" s="436"/>
      <c r="F257" s="436"/>
      <c r="G257" s="436"/>
      <c r="H257" s="436"/>
    </row>
    <row r="258" spans="1:9">
      <c r="A258" s="1345" t="s">
        <v>80</v>
      </c>
      <c r="B258" s="1346"/>
      <c r="C258" s="1347"/>
      <c r="D258" s="438" t="s">
        <v>88</v>
      </c>
      <c r="E258" s="438" t="s">
        <v>89</v>
      </c>
      <c r="F258" s="438" t="s">
        <v>90</v>
      </c>
      <c r="G258" s="439" t="s">
        <v>84</v>
      </c>
      <c r="H258" s="457"/>
    </row>
    <row r="259" spans="1:9">
      <c r="A259" s="458" t="s">
        <v>247</v>
      </c>
      <c r="B259" s="467"/>
      <c r="C259" s="468"/>
      <c r="D259" s="459" t="s">
        <v>237</v>
      </c>
      <c r="E259" s="1013">
        <f>(315000+315000/2)*1.19</f>
        <v>562275</v>
      </c>
      <c r="F259" s="440">
        <v>1</v>
      </c>
      <c r="G259" s="432">
        <f>ROUND(F259*E259,0)</f>
        <v>562275</v>
      </c>
      <c r="H259" s="460"/>
    </row>
    <row r="260" spans="1:9">
      <c r="A260" s="469" t="s">
        <v>240</v>
      </c>
      <c r="B260" s="467"/>
      <c r="C260" s="468"/>
      <c r="D260" s="459" t="s">
        <v>241</v>
      </c>
      <c r="E260" s="674">
        <f>109900</f>
        <v>109900</v>
      </c>
      <c r="F260" s="431">
        <f>(1/25)*20</f>
        <v>0.8</v>
      </c>
      <c r="G260" s="432">
        <f>ROUND(F260*E260,0)</f>
        <v>87920</v>
      </c>
      <c r="H260" s="460"/>
    </row>
    <row r="261" spans="1:9">
      <c r="A261" s="469" t="s">
        <v>238</v>
      </c>
      <c r="B261" s="467"/>
      <c r="C261" s="468"/>
      <c r="D261" s="459" t="s">
        <v>241</v>
      </c>
      <c r="E261" s="430">
        <v>29900</v>
      </c>
      <c r="F261" s="431">
        <f>1/5</f>
        <v>0.2</v>
      </c>
      <c r="G261" s="432">
        <f>ROUND(F261*E261,0)</f>
        <v>5980</v>
      </c>
      <c r="H261" s="460"/>
    </row>
    <row r="262" spans="1:9">
      <c r="A262" s="469" t="s">
        <v>351</v>
      </c>
      <c r="B262" s="467"/>
      <c r="C262" s="468"/>
      <c r="D262" s="459" t="s">
        <v>237</v>
      </c>
      <c r="E262" s="430">
        <v>32000</v>
      </c>
      <c r="F262" s="431">
        <v>1</v>
      </c>
      <c r="G262" s="432">
        <f>ROUND(F262*E262,0)</f>
        <v>32000</v>
      </c>
      <c r="H262" s="460"/>
    </row>
    <row r="263" spans="1:9">
      <c r="A263" s="469" t="s">
        <v>93</v>
      </c>
      <c r="B263" s="467"/>
      <c r="C263" s="471">
        <v>0.05</v>
      </c>
      <c r="D263" s="459"/>
      <c r="E263" s="430"/>
      <c r="F263" s="431"/>
      <c r="G263" s="432">
        <f>SUM(G259:G261)*C263</f>
        <v>32808.75</v>
      </c>
      <c r="H263" s="460"/>
    </row>
    <row r="264" spans="1:9" ht="13.5" thickBot="1">
      <c r="A264" s="472"/>
      <c r="B264" s="473"/>
      <c r="C264" s="474"/>
      <c r="D264" s="464"/>
      <c r="E264" s="433"/>
      <c r="F264" s="434"/>
      <c r="G264" s="435"/>
      <c r="H264" s="465"/>
    </row>
    <row r="265" spans="1:9" ht="13.5" thickBot="1">
      <c r="A265" s="436"/>
      <c r="B265" s="436"/>
      <c r="C265" s="436"/>
      <c r="D265" s="436"/>
      <c r="E265" s="436"/>
      <c r="F265" s="436"/>
      <c r="G265" s="437" t="s">
        <v>86</v>
      </c>
      <c r="H265" s="466">
        <f>SUM(G259:G264)</f>
        <v>720983.75</v>
      </c>
    </row>
    <row r="266" spans="1:9" ht="13.5" thickBot="1">
      <c r="A266" s="450" t="s">
        <v>94</v>
      </c>
      <c r="B266" s="450"/>
      <c r="C266" s="436"/>
      <c r="D266" s="436"/>
      <c r="E266" s="436"/>
      <c r="F266" s="436"/>
      <c r="G266" s="436"/>
      <c r="H266" s="436"/>
    </row>
    <row r="267" spans="1:9">
      <c r="A267" s="1345" t="s">
        <v>95</v>
      </c>
      <c r="B267" s="1346"/>
      <c r="C267" s="1347"/>
      <c r="D267" s="438" t="s">
        <v>88</v>
      </c>
      <c r="E267" s="438" t="s">
        <v>89</v>
      </c>
      <c r="F267" s="438" t="s">
        <v>90</v>
      </c>
      <c r="G267" s="439" t="s">
        <v>84</v>
      </c>
      <c r="H267" s="457"/>
    </row>
    <row r="268" spans="1:9">
      <c r="A268" s="458" t="s">
        <v>236</v>
      </c>
      <c r="B268" s="467"/>
      <c r="C268" s="468"/>
      <c r="D268" s="459" t="s">
        <v>237</v>
      </c>
      <c r="E268" s="430">
        <v>5000</v>
      </c>
      <c r="F268" s="686">
        <v>1</v>
      </c>
      <c r="G268" s="440">
        <f>+F268*E268</f>
        <v>5000</v>
      </c>
      <c r="H268" s="460"/>
      <c r="I268" s="1076">
        <f>5000*1.5</f>
        <v>7500</v>
      </c>
    </row>
    <row r="269" spans="1:9" ht="13.5" thickBot="1">
      <c r="A269" s="1342" t="s">
        <v>235</v>
      </c>
      <c r="B269" s="1343"/>
      <c r="C269" s="1344"/>
      <c r="D269" s="475" t="s">
        <v>237</v>
      </c>
      <c r="E269" s="433">
        <f>+E268*1.5</f>
        <v>7500</v>
      </c>
      <c r="F269" s="704">
        <v>0.7</v>
      </c>
      <c r="G269" s="441">
        <f>+F269*E269</f>
        <v>5250</v>
      </c>
      <c r="H269" s="460"/>
      <c r="I269" s="1076">
        <f>5250*1.5</f>
        <v>7875</v>
      </c>
    </row>
    <row r="270" spans="1:9" ht="13.5" thickBot="1">
      <c r="A270" s="436"/>
      <c r="B270" s="436"/>
      <c r="C270" s="436"/>
      <c r="D270" s="436"/>
      <c r="E270" s="436"/>
      <c r="F270" s="436"/>
      <c r="G270" s="437" t="s">
        <v>86</v>
      </c>
      <c r="H270" s="466">
        <f>SUM(G268:G269)</f>
        <v>10250</v>
      </c>
    </row>
    <row r="271" spans="1:9" ht="13.5" thickBot="1">
      <c r="A271" s="450" t="s">
        <v>96</v>
      </c>
      <c r="B271" s="450"/>
      <c r="C271" s="436"/>
      <c r="D271" s="436"/>
      <c r="E271" s="436"/>
      <c r="F271" s="436"/>
      <c r="G271" s="436"/>
      <c r="H271" s="436"/>
    </row>
    <row r="272" spans="1:9">
      <c r="A272" s="476" t="s">
        <v>97</v>
      </c>
      <c r="B272" s="438"/>
      <c r="C272" s="438" t="s">
        <v>98</v>
      </c>
      <c r="D272" s="438" t="s">
        <v>99</v>
      </c>
      <c r="E272" s="442" t="s">
        <v>100</v>
      </c>
      <c r="F272" s="443" t="s">
        <v>83</v>
      </c>
      <c r="G272" s="444" t="s">
        <v>84</v>
      </c>
      <c r="H272" s="477"/>
    </row>
    <row r="273" spans="1:8">
      <c r="A273" s="478" t="s">
        <v>227</v>
      </c>
      <c r="B273" s="468"/>
      <c r="C273" s="479">
        <f>PERSONAL!$E$31</f>
        <v>48800</v>
      </c>
      <c r="D273" s="480">
        <f>PERSONAL!$F$31</f>
        <v>1.7431000000000001</v>
      </c>
      <c r="E273" s="440">
        <f>+D273*C273</f>
        <v>85063.28</v>
      </c>
      <c r="F273" s="440">
        <v>5.5</v>
      </c>
      <c r="G273" s="445">
        <f>ROUND(E273/F273,0)</f>
        <v>15466</v>
      </c>
      <c r="H273" s="451"/>
    </row>
    <row r="274" spans="1:8">
      <c r="A274" s="478" t="s">
        <v>101</v>
      </c>
      <c r="B274" s="467"/>
      <c r="C274" s="479">
        <f>PERSONAL!$E$32</f>
        <v>87200</v>
      </c>
      <c r="D274" s="480">
        <f>PERSONAL!$F$31</f>
        <v>1.7431000000000001</v>
      </c>
      <c r="E274" s="440">
        <f>+D274*C274</f>
        <v>151998.32</v>
      </c>
      <c r="F274" s="440">
        <f>+F273</f>
        <v>5.5</v>
      </c>
      <c r="G274" s="445">
        <f>ROUND(E274/F274,0)</f>
        <v>27636</v>
      </c>
      <c r="H274" s="451"/>
    </row>
    <row r="275" spans="1:8">
      <c r="A275" s="478"/>
      <c r="B275" s="468"/>
      <c r="C275" s="430"/>
      <c r="D275" s="459"/>
      <c r="E275" s="430"/>
      <c r="F275" s="440"/>
      <c r="G275" s="445"/>
      <c r="H275" s="451"/>
    </row>
    <row r="276" spans="1:8" ht="13.5" thickBot="1">
      <c r="A276" s="481"/>
      <c r="B276" s="474"/>
      <c r="C276" s="474"/>
      <c r="D276" s="474"/>
      <c r="E276" s="474"/>
      <c r="F276" s="474"/>
      <c r="G276" s="482"/>
      <c r="H276" s="482"/>
    </row>
    <row r="277" spans="1:8" ht="13.5" thickBot="1">
      <c r="A277" s="436"/>
      <c r="B277" s="436"/>
      <c r="C277" s="436"/>
      <c r="D277" s="436"/>
      <c r="E277" s="436"/>
      <c r="F277" s="436"/>
      <c r="G277" s="437" t="s">
        <v>86</v>
      </c>
      <c r="H277" s="466">
        <f>SUM(G273:G276)</f>
        <v>43102</v>
      </c>
    </row>
    <row r="278" spans="1:8" ht="13.5" thickBot="1">
      <c r="A278" s="436"/>
      <c r="B278" s="436"/>
      <c r="C278" s="436"/>
      <c r="D278" s="436"/>
      <c r="E278" s="436"/>
      <c r="F278" s="436"/>
      <c r="G278" s="483"/>
      <c r="H278" s="436"/>
    </row>
    <row r="279" spans="1:8" ht="13.5" thickBot="1">
      <c r="A279" s="436"/>
      <c r="B279" s="436"/>
      <c r="C279" s="436"/>
      <c r="D279" s="436"/>
      <c r="E279" s="484" t="s">
        <v>102</v>
      </c>
      <c r="F279" s="485"/>
      <c r="G279" s="485"/>
      <c r="H279" s="466">
        <f>H256+H265+H270+H277</f>
        <v>779018.02272727271</v>
      </c>
    </row>
    <row r="280" spans="1:8" ht="13.5" thickBot="1">
      <c r="A280" s="450" t="s">
        <v>103</v>
      </c>
      <c r="B280" s="450"/>
      <c r="C280" s="436"/>
      <c r="D280" s="436"/>
      <c r="E280" s="436"/>
      <c r="F280" s="436"/>
      <c r="G280" s="436"/>
      <c r="H280" s="436"/>
    </row>
    <row r="281" spans="1:8">
      <c r="A281" s="487" t="s">
        <v>80</v>
      </c>
      <c r="B281" s="488"/>
      <c r="C281" s="488"/>
      <c r="D281" s="488"/>
      <c r="E281" s="489"/>
      <c r="F281" s="490" t="s">
        <v>104</v>
      </c>
      <c r="G281" s="491" t="s">
        <v>105</v>
      </c>
      <c r="H281" s="457"/>
    </row>
    <row r="282" spans="1:8">
      <c r="A282" s="469" t="s">
        <v>106</v>
      </c>
      <c r="B282" s="467"/>
      <c r="C282" s="467"/>
      <c r="D282" s="467"/>
      <c r="E282" s="468"/>
      <c r="F282" s="492">
        <f>PRESUPUESTO!$E$222</f>
        <v>0.109</v>
      </c>
      <c r="G282" s="493">
        <f>+F282*H279</f>
        <v>84912.964477272719</v>
      </c>
      <c r="H282" s="550"/>
    </row>
    <row r="283" spans="1:8">
      <c r="A283" s="469" t="s">
        <v>107</v>
      </c>
      <c r="B283" s="467"/>
      <c r="C283" s="467"/>
      <c r="D283" s="467"/>
      <c r="E283" s="468"/>
      <c r="F283" s="492">
        <f>PRESUPUESTO!$E$223</f>
        <v>0.05</v>
      </c>
      <c r="G283" s="493">
        <f>+F283*H279</f>
        <v>38950.901136363638</v>
      </c>
      <c r="H283" s="550"/>
    </row>
    <row r="284" spans="1:8" ht="13.5" thickBot="1">
      <c r="A284" s="472" t="s">
        <v>108</v>
      </c>
      <c r="B284" s="473"/>
      <c r="C284" s="473"/>
      <c r="D284" s="473"/>
      <c r="E284" s="474"/>
      <c r="F284" s="494">
        <v>0</v>
      </c>
      <c r="G284" s="495">
        <f>+F284*H279</f>
        <v>0</v>
      </c>
      <c r="H284" s="465"/>
    </row>
    <row r="285" spans="1:8" ht="13.5" thickBot="1">
      <c r="A285" s="436"/>
      <c r="B285" s="436"/>
      <c r="C285" s="436"/>
      <c r="D285" s="436"/>
      <c r="E285" s="436"/>
      <c r="F285" s="436"/>
      <c r="G285" s="437" t="s">
        <v>86</v>
      </c>
      <c r="H285" s="496">
        <f>SUM(G282:G284)</f>
        <v>123863.86561363636</v>
      </c>
    </row>
    <row r="286" spans="1:8" ht="13.5" thickBot="1">
      <c r="A286" s="436"/>
      <c r="B286" s="436"/>
      <c r="C286" s="436"/>
      <c r="D286" s="436"/>
      <c r="E286" s="436"/>
      <c r="F286" s="436"/>
      <c r="G286" s="436"/>
      <c r="H286" s="436"/>
    </row>
    <row r="287" spans="1:8" ht="13.5" thickBot="1">
      <c r="C287" s="436"/>
      <c r="D287" s="484" t="s">
        <v>109</v>
      </c>
      <c r="E287" s="485"/>
      <c r="F287" s="485"/>
      <c r="G287" s="485"/>
      <c r="H287" s="466">
        <f>ROUND((H279+H285),0)</f>
        <v>902882</v>
      </c>
    </row>
    <row r="289" spans="1:8" ht="15">
      <c r="A289" s="186" t="s">
        <v>77</v>
      </c>
    </row>
    <row r="290" spans="1:8" ht="13.5" thickBot="1"/>
    <row r="291" spans="1:8">
      <c r="A291" s="1348" t="s">
        <v>213</v>
      </c>
      <c r="B291" s="1349"/>
      <c r="C291" s="1350"/>
      <c r="D291" s="448"/>
      <c r="E291" s="448"/>
      <c r="F291" s="448"/>
      <c r="G291" s="448"/>
      <c r="H291" s="449"/>
    </row>
    <row r="292" spans="1:8">
      <c r="A292" s="1351"/>
      <c r="B292" s="1352"/>
      <c r="C292" s="1353"/>
      <c r="D292" s="436"/>
      <c r="E292" s="450" t="s">
        <v>78</v>
      </c>
      <c r="F292" s="436"/>
      <c r="G292" s="436"/>
      <c r="H292" s="451"/>
    </row>
    <row r="293" spans="1:8" ht="13.5" thickBot="1">
      <c r="A293" s="1354"/>
      <c r="B293" s="1355"/>
      <c r="C293" s="1356"/>
      <c r="D293" s="452"/>
      <c r="E293" s="453"/>
      <c r="F293" s="453"/>
      <c r="G293" s="453"/>
      <c r="H293" s="454"/>
    </row>
    <row r="294" spans="1:8">
      <c r="A294" s="455"/>
      <c r="B294" s="436"/>
      <c r="C294" s="436"/>
      <c r="D294" s="436"/>
      <c r="E294" s="436"/>
      <c r="F294" s="436"/>
      <c r="G294" s="436"/>
      <c r="H294" s="436"/>
    </row>
    <row r="295" spans="1:8">
      <c r="A295" s="455" t="s">
        <v>1228</v>
      </c>
      <c r="B295" s="456" t="str">
        <f>+PRESUPUESTO!$B$156</f>
        <v>PISOS Y ENCHAPES</v>
      </c>
      <c r="C295" s="436"/>
      <c r="E295" s="456"/>
      <c r="G295" s="456" t="s">
        <v>1123</v>
      </c>
      <c r="H295" s="436" t="str">
        <f>+PRESUPUESTO!$A$165</f>
        <v>9.2.3</v>
      </c>
    </row>
    <row r="296" spans="1:8" s="931" customFormat="1" ht="57" customHeight="1">
      <c r="A296" s="928" t="s">
        <v>1122</v>
      </c>
      <c r="B296" s="1375" t="str">
        <f>VLOOKUP(H295,PRESUPUESTO!$A$18:$F$251,2,FALSE)</f>
        <v>Suministro e instalación de piso en royal beta color dorado pulido y brillado de 40x100x3 cm en modulaciones a mitad de baldosa, incluye pegacor con latex para exteriores y junta con polvillo color de acuerdo a la baldosa con separación de 2mm..</v>
      </c>
      <c r="C296" s="1375"/>
      <c r="D296" s="1375"/>
      <c r="E296" s="1375"/>
      <c r="F296" s="1375"/>
      <c r="G296" s="929" t="s">
        <v>9</v>
      </c>
      <c r="H296" s="1024" t="str">
        <f>VLOOKUP(H295,PRESUPUESTO!$A$18:$F$251,3,FALSE)</f>
        <v>m2</v>
      </c>
    </row>
    <row r="297" spans="1:8">
      <c r="A297" s="562"/>
      <c r="B297" s="562"/>
      <c r="C297" s="562"/>
      <c r="D297" s="562"/>
      <c r="E297" s="562"/>
      <c r="F297" s="562"/>
      <c r="G297" s="456"/>
      <c r="H297" s="436"/>
    </row>
    <row r="298" spans="1:8">
      <c r="A298" s="456"/>
      <c r="B298" s="456"/>
      <c r="C298" s="436"/>
      <c r="D298" s="456"/>
      <c r="E298" s="456"/>
      <c r="F298" s="456"/>
      <c r="G298" s="456"/>
      <c r="H298" s="436"/>
    </row>
    <row r="299" spans="1:8" ht="13.5" thickBot="1">
      <c r="A299" s="450" t="s">
        <v>79</v>
      </c>
      <c r="B299" s="450"/>
      <c r="C299" s="436"/>
      <c r="D299" s="436"/>
      <c r="E299" s="436"/>
      <c r="F299" s="436"/>
      <c r="G299" s="436"/>
      <c r="H299" s="436"/>
    </row>
    <row r="300" spans="1:8">
      <c r="A300" s="1345" t="s">
        <v>80</v>
      </c>
      <c r="B300" s="1346"/>
      <c r="C300" s="1347"/>
      <c r="D300" s="438" t="s">
        <v>81</v>
      </c>
      <c r="E300" s="438" t="s">
        <v>82</v>
      </c>
      <c r="F300" s="438" t="s">
        <v>83</v>
      </c>
      <c r="G300" s="439" t="s">
        <v>84</v>
      </c>
      <c r="H300" s="457"/>
    </row>
    <row r="301" spans="1:8">
      <c r="A301" s="1357" t="s">
        <v>85</v>
      </c>
      <c r="B301" s="1358"/>
      <c r="C301" s="1359"/>
      <c r="D301" s="459"/>
      <c r="E301" s="440"/>
      <c r="F301" s="440"/>
      <c r="G301" s="432">
        <f>ROUND(H325*0.05,0)</f>
        <v>2155</v>
      </c>
      <c r="H301" s="460"/>
    </row>
    <row r="302" spans="1:8">
      <c r="A302" s="1357" t="s">
        <v>239</v>
      </c>
      <c r="B302" s="1358"/>
      <c r="C302" s="1359"/>
      <c r="D302" s="461" t="s">
        <v>263</v>
      </c>
      <c r="E302" s="462">
        <f>MATERIALES!$C$5</f>
        <v>13900</v>
      </c>
      <c r="F302" s="440">
        <f>1/F321</f>
        <v>0.18181818181818182</v>
      </c>
      <c r="G302" s="432">
        <f>E302*F302</f>
        <v>2527.2727272727275</v>
      </c>
      <c r="H302" s="460"/>
    </row>
    <row r="303" spans="1:8" ht="13.5" thickBot="1">
      <c r="A303" s="1342"/>
      <c r="B303" s="1343"/>
      <c r="C303" s="1344"/>
      <c r="D303" s="464"/>
      <c r="E303" s="433"/>
      <c r="F303" s="434"/>
      <c r="G303" s="435"/>
      <c r="H303" s="465"/>
    </row>
    <row r="304" spans="1:8" ht="13.5" thickBot="1">
      <c r="A304" s="436"/>
      <c r="B304" s="436"/>
      <c r="C304" s="436"/>
      <c r="D304" s="436"/>
      <c r="E304" s="436"/>
      <c r="F304" s="436"/>
      <c r="G304" s="437" t="s">
        <v>86</v>
      </c>
      <c r="H304" s="466">
        <f>SUM(G301:G303)</f>
        <v>4682.2727272727279</v>
      </c>
    </row>
    <row r="305" spans="1:8" ht="13.5" thickBot="1">
      <c r="A305" s="450" t="s">
        <v>87</v>
      </c>
      <c r="B305" s="450"/>
      <c r="C305" s="436"/>
      <c r="D305" s="436"/>
      <c r="E305" s="436"/>
      <c r="F305" s="436"/>
      <c r="G305" s="436"/>
      <c r="H305" s="436"/>
    </row>
    <row r="306" spans="1:8">
      <c r="A306" s="1345" t="s">
        <v>80</v>
      </c>
      <c r="B306" s="1346"/>
      <c r="C306" s="1347"/>
      <c r="D306" s="438" t="s">
        <v>88</v>
      </c>
      <c r="E306" s="438" t="s">
        <v>89</v>
      </c>
      <c r="F306" s="438" t="s">
        <v>90</v>
      </c>
      <c r="G306" s="439" t="s">
        <v>84</v>
      </c>
      <c r="H306" s="457"/>
    </row>
    <row r="307" spans="1:8">
      <c r="A307" s="458" t="s">
        <v>247</v>
      </c>
      <c r="B307" s="467"/>
      <c r="C307" s="468"/>
      <c r="D307" s="459" t="s">
        <v>237</v>
      </c>
      <c r="E307" s="1013">
        <f>(395000+395000/2)*1.19</f>
        <v>705075</v>
      </c>
      <c r="F307" s="440">
        <v>1</v>
      </c>
      <c r="G307" s="432">
        <f>ROUND(F307*E307,0)</f>
        <v>705075</v>
      </c>
      <c r="H307" s="460"/>
    </row>
    <row r="308" spans="1:8">
      <c r="A308" s="469" t="s">
        <v>240</v>
      </c>
      <c r="B308" s="467"/>
      <c r="C308" s="468"/>
      <c r="D308" s="459" t="s">
        <v>241</v>
      </c>
      <c r="E308" s="674">
        <f>109900</f>
        <v>109900</v>
      </c>
      <c r="F308" s="431">
        <f>(1/25)*20</f>
        <v>0.8</v>
      </c>
      <c r="G308" s="432">
        <f>ROUND(F308*E308,0)</f>
        <v>87920</v>
      </c>
      <c r="H308" s="460"/>
    </row>
    <row r="309" spans="1:8">
      <c r="A309" s="469" t="s">
        <v>238</v>
      </c>
      <c r="B309" s="467"/>
      <c r="C309" s="468"/>
      <c r="D309" s="459" t="s">
        <v>241</v>
      </c>
      <c r="E309" s="430">
        <v>29900</v>
      </c>
      <c r="F309" s="431">
        <f>1/5</f>
        <v>0.2</v>
      </c>
      <c r="G309" s="432">
        <f>ROUND(F309*E309,0)</f>
        <v>5980</v>
      </c>
      <c r="H309" s="460"/>
    </row>
    <row r="310" spans="1:8">
      <c r="A310" s="469" t="s">
        <v>351</v>
      </c>
      <c r="B310" s="467"/>
      <c r="C310" s="468"/>
      <c r="D310" s="459" t="s">
        <v>237</v>
      </c>
      <c r="E310" s="430">
        <v>32000</v>
      </c>
      <c r="F310" s="431">
        <v>1</v>
      </c>
      <c r="G310" s="432">
        <f>ROUND(F310*E310,0)</f>
        <v>32000</v>
      </c>
      <c r="H310" s="460"/>
    </row>
    <row r="311" spans="1:8">
      <c r="A311" s="469" t="s">
        <v>93</v>
      </c>
      <c r="B311" s="467"/>
      <c r="C311" s="471">
        <v>0.05</v>
      </c>
      <c r="D311" s="459"/>
      <c r="E311" s="430"/>
      <c r="F311" s="431"/>
      <c r="G311" s="432">
        <f>SUM(G307:G310)*C311</f>
        <v>41548.75</v>
      </c>
      <c r="H311" s="460"/>
    </row>
    <row r="312" spans="1:8" ht="13.5" thickBot="1">
      <c r="A312" s="472"/>
      <c r="B312" s="473"/>
      <c r="C312" s="474"/>
      <c r="D312" s="464"/>
      <c r="E312" s="433"/>
      <c r="F312" s="434"/>
      <c r="G312" s="435"/>
      <c r="H312" s="465"/>
    </row>
    <row r="313" spans="1:8" ht="13.5" thickBot="1">
      <c r="A313" s="436"/>
      <c r="B313" s="436"/>
      <c r="C313" s="436"/>
      <c r="D313" s="436"/>
      <c r="E313" s="436"/>
      <c r="F313" s="436"/>
      <c r="G313" s="437" t="s">
        <v>86</v>
      </c>
      <c r="H313" s="466">
        <f>SUM(G307:G312)</f>
        <v>872523.75</v>
      </c>
    </row>
    <row r="314" spans="1:8" ht="13.5" thickBot="1">
      <c r="A314" s="450" t="s">
        <v>94</v>
      </c>
      <c r="B314" s="450"/>
      <c r="C314" s="436"/>
      <c r="D314" s="436"/>
      <c r="E314" s="436"/>
      <c r="F314" s="436"/>
      <c r="G314" s="436"/>
      <c r="H314" s="436"/>
    </row>
    <row r="315" spans="1:8">
      <c r="A315" s="1345" t="s">
        <v>95</v>
      </c>
      <c r="B315" s="1346"/>
      <c r="C315" s="1347"/>
      <c r="D315" s="438" t="s">
        <v>88</v>
      </c>
      <c r="E315" s="438" t="s">
        <v>89</v>
      </c>
      <c r="F315" s="438" t="s">
        <v>90</v>
      </c>
      <c r="G315" s="439" t="s">
        <v>84</v>
      </c>
      <c r="H315" s="457"/>
    </row>
    <row r="316" spans="1:8">
      <c r="A316" s="458" t="s">
        <v>236</v>
      </c>
      <c r="B316" s="467"/>
      <c r="C316" s="468"/>
      <c r="D316" s="459" t="s">
        <v>237</v>
      </c>
      <c r="E316" s="430">
        <v>5000</v>
      </c>
      <c r="F316" s="686">
        <v>1</v>
      </c>
      <c r="G316" s="440">
        <f>+F316*E316</f>
        <v>5000</v>
      </c>
      <c r="H316" s="460"/>
    </row>
    <row r="317" spans="1:8" ht="13.5" thickBot="1">
      <c r="A317" s="1342" t="s">
        <v>235</v>
      </c>
      <c r="B317" s="1343"/>
      <c r="C317" s="1344"/>
      <c r="D317" s="475" t="s">
        <v>237</v>
      </c>
      <c r="E317" s="433">
        <f>+E316*1.5</f>
        <v>7500</v>
      </c>
      <c r="F317" s="704">
        <v>0.7</v>
      </c>
      <c r="G317" s="441">
        <f>+F317*E317</f>
        <v>5250</v>
      </c>
      <c r="H317" s="460"/>
    </row>
    <row r="318" spans="1:8" ht="13.5" thickBot="1">
      <c r="A318" s="436"/>
      <c r="B318" s="436"/>
      <c r="C318" s="436"/>
      <c r="D318" s="436"/>
      <c r="E318" s="436"/>
      <c r="F318" s="436"/>
      <c r="G318" s="437" t="s">
        <v>86</v>
      </c>
      <c r="H318" s="466">
        <f>SUM(G316:G317)</f>
        <v>10250</v>
      </c>
    </row>
    <row r="319" spans="1:8" ht="13.5" thickBot="1">
      <c r="A319" s="450" t="s">
        <v>96</v>
      </c>
      <c r="B319" s="450"/>
      <c r="C319" s="436"/>
      <c r="D319" s="436"/>
      <c r="E319" s="436"/>
      <c r="F319" s="436"/>
      <c r="G319" s="436"/>
      <c r="H319" s="436"/>
    </row>
    <row r="320" spans="1:8">
      <c r="A320" s="476" t="s">
        <v>97</v>
      </c>
      <c r="B320" s="438"/>
      <c r="C320" s="438" t="s">
        <v>98</v>
      </c>
      <c r="D320" s="438" t="s">
        <v>99</v>
      </c>
      <c r="E320" s="442" t="s">
        <v>100</v>
      </c>
      <c r="F320" s="443" t="s">
        <v>83</v>
      </c>
      <c r="G320" s="444" t="s">
        <v>84</v>
      </c>
      <c r="H320" s="477"/>
    </row>
    <row r="321" spans="1:8">
      <c r="A321" s="478" t="s">
        <v>227</v>
      </c>
      <c r="B321" s="468"/>
      <c r="C321" s="479">
        <f>PERSONAL!$E$31</f>
        <v>48800</v>
      </c>
      <c r="D321" s="480">
        <f>PERSONAL!$F$31</f>
        <v>1.7431000000000001</v>
      </c>
      <c r="E321" s="440">
        <f>+D321*C321</f>
        <v>85063.28</v>
      </c>
      <c r="F321" s="440">
        <v>5.5</v>
      </c>
      <c r="G321" s="445">
        <f>ROUND(E321/F321,0)</f>
        <v>15466</v>
      </c>
      <c r="H321" s="451"/>
    </row>
    <row r="322" spans="1:8">
      <c r="A322" s="478" t="s">
        <v>101</v>
      </c>
      <c r="B322" s="467"/>
      <c r="C322" s="479">
        <f>PERSONAL!$E$32</f>
        <v>87200</v>
      </c>
      <c r="D322" s="480">
        <f>PERSONAL!$F$31</f>
        <v>1.7431000000000001</v>
      </c>
      <c r="E322" s="440">
        <f>+D322*C322</f>
        <v>151998.32</v>
      </c>
      <c r="F322" s="440">
        <f>+F321</f>
        <v>5.5</v>
      </c>
      <c r="G322" s="445">
        <f>ROUND(E322/F322,0)</f>
        <v>27636</v>
      </c>
      <c r="H322" s="451"/>
    </row>
    <row r="323" spans="1:8">
      <c r="A323" s="478"/>
      <c r="B323" s="468"/>
      <c r="C323" s="430"/>
      <c r="D323" s="459"/>
      <c r="E323" s="430"/>
      <c r="F323" s="440"/>
      <c r="G323" s="445"/>
      <c r="H323" s="451"/>
    </row>
    <row r="324" spans="1:8" ht="13.5" thickBot="1">
      <c r="A324" s="481"/>
      <c r="B324" s="474"/>
      <c r="C324" s="474"/>
      <c r="D324" s="474"/>
      <c r="E324" s="474"/>
      <c r="F324" s="474"/>
      <c r="G324" s="482"/>
      <c r="H324" s="482"/>
    </row>
    <row r="325" spans="1:8" ht="13.5" thickBot="1">
      <c r="A325" s="436"/>
      <c r="B325" s="436"/>
      <c r="C325" s="436"/>
      <c r="D325" s="436"/>
      <c r="E325" s="436"/>
      <c r="F325" s="436"/>
      <c r="G325" s="437" t="s">
        <v>86</v>
      </c>
      <c r="H325" s="466">
        <f>SUM(G321:G324)</f>
        <v>43102</v>
      </c>
    </row>
    <row r="326" spans="1:8" ht="13.5" thickBot="1">
      <c r="A326" s="436"/>
      <c r="B326" s="436"/>
      <c r="C326" s="436"/>
      <c r="D326" s="436"/>
      <c r="E326" s="436"/>
      <c r="F326" s="436"/>
      <c r="G326" s="483"/>
      <c r="H326" s="436"/>
    </row>
    <row r="327" spans="1:8" ht="13.5" thickBot="1">
      <c r="A327" s="436"/>
      <c r="B327" s="436"/>
      <c r="C327" s="436"/>
      <c r="D327" s="436"/>
      <c r="E327" s="484" t="s">
        <v>102</v>
      </c>
      <c r="F327" s="485"/>
      <c r="G327" s="485"/>
      <c r="H327" s="466">
        <f>H304+H313+H318+H325</f>
        <v>930558.02272727271</v>
      </c>
    </row>
    <row r="328" spans="1:8" ht="13.5" thickBot="1">
      <c r="A328" s="450" t="s">
        <v>103</v>
      </c>
      <c r="B328" s="450"/>
      <c r="C328" s="436"/>
      <c r="D328" s="436"/>
      <c r="E328" s="436"/>
      <c r="F328" s="436"/>
      <c r="G328" s="436"/>
      <c r="H328" s="436"/>
    </row>
    <row r="329" spans="1:8">
      <c r="A329" s="487" t="s">
        <v>80</v>
      </c>
      <c r="B329" s="488"/>
      <c r="C329" s="488"/>
      <c r="D329" s="488"/>
      <c r="E329" s="489"/>
      <c r="F329" s="490" t="s">
        <v>104</v>
      </c>
      <c r="G329" s="491" t="s">
        <v>105</v>
      </c>
      <c r="H329" s="457"/>
    </row>
    <row r="330" spans="1:8">
      <c r="A330" s="469" t="s">
        <v>106</v>
      </c>
      <c r="B330" s="467"/>
      <c r="C330" s="467"/>
      <c r="D330" s="467"/>
      <c r="E330" s="468"/>
      <c r="F330" s="492">
        <f>PRESUPUESTO!$E$222</f>
        <v>0.109</v>
      </c>
      <c r="G330" s="493">
        <f>+F330*H327</f>
        <v>101430.82447727272</v>
      </c>
      <c r="H330" s="550"/>
    </row>
    <row r="331" spans="1:8">
      <c r="A331" s="469" t="s">
        <v>107</v>
      </c>
      <c r="B331" s="467"/>
      <c r="C331" s="467"/>
      <c r="D331" s="467"/>
      <c r="E331" s="468"/>
      <c r="F331" s="492">
        <f>PRESUPUESTO!$E$223</f>
        <v>0.05</v>
      </c>
      <c r="G331" s="493">
        <f>+F331*H327</f>
        <v>46527.901136363638</v>
      </c>
      <c r="H331" s="550"/>
    </row>
    <row r="332" spans="1:8" ht="13.5" thickBot="1">
      <c r="A332" s="472" t="s">
        <v>108</v>
      </c>
      <c r="B332" s="473"/>
      <c r="C332" s="473"/>
      <c r="D332" s="473"/>
      <c r="E332" s="474"/>
      <c r="F332" s="494">
        <v>0</v>
      </c>
      <c r="G332" s="495">
        <f>+F332*H327</f>
        <v>0</v>
      </c>
      <c r="H332" s="465"/>
    </row>
    <row r="333" spans="1:8" ht="13.5" thickBot="1">
      <c r="A333" s="436"/>
      <c r="B333" s="436"/>
      <c r="C333" s="436"/>
      <c r="D333" s="436"/>
      <c r="E333" s="436"/>
      <c r="F333" s="436"/>
      <c r="G333" s="437" t="s">
        <v>86</v>
      </c>
      <c r="H333" s="496">
        <f>SUM(G330:G332)</f>
        <v>147958.72561363637</v>
      </c>
    </row>
    <row r="334" spans="1:8" ht="13.5" thickBot="1">
      <c r="A334" s="436"/>
      <c r="B334" s="436"/>
      <c r="C334" s="436"/>
      <c r="D334" s="436"/>
      <c r="E334" s="436"/>
      <c r="F334" s="436"/>
      <c r="G334" s="436"/>
      <c r="H334" s="436"/>
    </row>
    <row r="335" spans="1:8" ht="13.5" thickBot="1">
      <c r="C335" s="436"/>
      <c r="D335" s="484" t="s">
        <v>109</v>
      </c>
      <c r="E335" s="485"/>
      <c r="F335" s="485"/>
      <c r="G335" s="485"/>
      <c r="H335" s="466">
        <f>ROUND((H327+H333),0)</f>
        <v>1078517</v>
      </c>
    </row>
    <row r="337" spans="1:8" ht="15">
      <c r="A337" s="186" t="s">
        <v>77</v>
      </c>
    </row>
    <row r="338" spans="1:8" ht="13.5" thickBot="1"/>
    <row r="339" spans="1:8">
      <c r="A339" s="1348" t="s">
        <v>213</v>
      </c>
      <c r="B339" s="1349"/>
      <c r="C339" s="1350"/>
      <c r="D339" s="448"/>
      <c r="E339" s="448"/>
      <c r="F339" s="448"/>
      <c r="G339" s="448"/>
      <c r="H339" s="449"/>
    </row>
    <row r="340" spans="1:8">
      <c r="A340" s="1351"/>
      <c r="B340" s="1352"/>
      <c r="C340" s="1353"/>
      <c r="D340" s="436"/>
      <c r="E340" s="450" t="s">
        <v>78</v>
      </c>
      <c r="F340" s="436"/>
      <c r="G340" s="436"/>
      <c r="H340" s="451"/>
    </row>
    <row r="341" spans="1:8" ht="13.5" thickBot="1">
      <c r="A341" s="1354"/>
      <c r="B341" s="1355"/>
      <c r="C341" s="1356"/>
      <c r="D341" s="452"/>
      <c r="E341" s="453"/>
      <c r="F341" s="453"/>
      <c r="G341" s="453"/>
      <c r="H341" s="454"/>
    </row>
    <row r="342" spans="1:8">
      <c r="A342" s="455"/>
      <c r="B342" s="436"/>
      <c r="C342" s="436"/>
      <c r="D342" s="436"/>
      <c r="E342" s="436"/>
      <c r="F342" s="436"/>
      <c r="G342" s="436"/>
      <c r="H342" s="436"/>
    </row>
    <row r="343" spans="1:8">
      <c r="A343" s="455" t="s">
        <v>1228</v>
      </c>
      <c r="B343" s="456" t="str">
        <f>+PRESUPUESTO!$B$156</f>
        <v>PISOS Y ENCHAPES</v>
      </c>
      <c r="C343" s="436"/>
      <c r="E343" s="456"/>
      <c r="G343" s="456" t="s">
        <v>1123</v>
      </c>
      <c r="H343" s="436" t="str">
        <f>+PRESUPUESTO!$A$166</f>
        <v>9.2.4</v>
      </c>
    </row>
    <row r="344" spans="1:8" s="931" customFormat="1" ht="57" customHeight="1">
      <c r="A344" s="928" t="s">
        <v>1122</v>
      </c>
      <c r="B344" s="1375" t="str">
        <f>VLOOKUP(H343,PRESUPUESTO!$A$18:$F$251,2,FALSE)</f>
        <v>Suministro e instalación de varilla de dilatación en cobre para piso royal beta. En reticulas de 1.5x1.5 m.</v>
      </c>
      <c r="C344" s="1375"/>
      <c r="D344" s="1375"/>
      <c r="E344" s="1375"/>
      <c r="F344" s="1375"/>
      <c r="G344" s="929" t="s">
        <v>9</v>
      </c>
      <c r="H344" s="1024" t="str">
        <f>VLOOKUP(H343,PRESUPUESTO!$A$18:$F$251,3,FALSE)</f>
        <v>ml</v>
      </c>
    </row>
    <row r="345" spans="1:8">
      <c r="A345" s="562"/>
      <c r="B345" s="562"/>
      <c r="C345" s="562"/>
      <c r="D345" s="562"/>
      <c r="E345" s="562"/>
      <c r="F345" s="562"/>
      <c r="G345" s="456"/>
      <c r="H345" s="436"/>
    </row>
    <row r="346" spans="1:8">
      <c r="A346" s="456"/>
      <c r="B346" s="456"/>
      <c r="C346" s="436"/>
      <c r="D346" s="456"/>
      <c r="E346" s="456"/>
      <c r="F346" s="456"/>
      <c r="G346" s="456"/>
      <c r="H346" s="436"/>
    </row>
    <row r="347" spans="1:8" ht="13.5" thickBot="1">
      <c r="A347" s="450" t="s">
        <v>79</v>
      </c>
      <c r="B347" s="450"/>
      <c r="C347" s="436"/>
      <c r="D347" s="436"/>
      <c r="E347" s="436"/>
      <c r="F347" s="436"/>
      <c r="G347" s="436"/>
      <c r="H347" s="436"/>
    </row>
    <row r="348" spans="1:8">
      <c r="A348" s="1345" t="s">
        <v>80</v>
      </c>
      <c r="B348" s="1346"/>
      <c r="C348" s="1347"/>
      <c r="D348" s="438" t="s">
        <v>81</v>
      </c>
      <c r="E348" s="438" t="s">
        <v>82</v>
      </c>
      <c r="F348" s="438" t="s">
        <v>83</v>
      </c>
      <c r="G348" s="439" t="s">
        <v>84</v>
      </c>
      <c r="H348" s="457"/>
    </row>
    <row r="349" spans="1:8">
      <c r="A349" s="1357" t="s">
        <v>85</v>
      </c>
      <c r="B349" s="1358"/>
      <c r="C349" s="1359"/>
      <c r="D349" s="459"/>
      <c r="E349" s="440"/>
      <c r="F349" s="440"/>
      <c r="G349" s="432">
        <f>ROUND(H373*0.05,0)</f>
        <v>330</v>
      </c>
      <c r="H349" s="460"/>
    </row>
    <row r="350" spans="1:8">
      <c r="A350" s="1357"/>
      <c r="B350" s="1358"/>
      <c r="C350" s="1359"/>
      <c r="D350" s="461"/>
      <c r="E350" s="462"/>
      <c r="F350" s="440"/>
      <c r="G350" s="432">
        <f>E350*F350</f>
        <v>0</v>
      </c>
      <c r="H350" s="460"/>
    </row>
    <row r="351" spans="1:8" ht="13.5" thickBot="1">
      <c r="A351" s="1342"/>
      <c r="B351" s="1343"/>
      <c r="C351" s="1344"/>
      <c r="D351" s="464"/>
      <c r="E351" s="433"/>
      <c r="F351" s="434"/>
      <c r="G351" s="435"/>
      <c r="H351" s="465"/>
    </row>
    <row r="352" spans="1:8" ht="13.5" thickBot="1">
      <c r="A352" s="436"/>
      <c r="B352" s="436"/>
      <c r="C352" s="436"/>
      <c r="D352" s="436"/>
      <c r="E352" s="436"/>
      <c r="F352" s="436"/>
      <c r="G352" s="437" t="s">
        <v>86</v>
      </c>
      <c r="H352" s="466">
        <f>SUM(G349:G351)</f>
        <v>330</v>
      </c>
    </row>
    <row r="353" spans="1:8" ht="13.5" thickBot="1">
      <c r="A353" s="450" t="s">
        <v>87</v>
      </c>
      <c r="B353" s="450"/>
      <c r="C353" s="436"/>
      <c r="D353" s="436"/>
      <c r="E353" s="436"/>
      <c r="F353" s="436"/>
      <c r="G353" s="436"/>
      <c r="H353" s="436"/>
    </row>
    <row r="354" spans="1:8">
      <c r="A354" s="1345" t="s">
        <v>80</v>
      </c>
      <c r="B354" s="1346"/>
      <c r="C354" s="1347"/>
      <c r="D354" s="438" t="s">
        <v>88</v>
      </c>
      <c r="E354" s="438" t="s">
        <v>89</v>
      </c>
      <c r="F354" s="438" t="s">
        <v>90</v>
      </c>
      <c r="G354" s="439" t="s">
        <v>84</v>
      </c>
      <c r="H354" s="457"/>
    </row>
    <row r="355" spans="1:8">
      <c r="A355" s="458" t="s">
        <v>352</v>
      </c>
      <c r="B355" s="467"/>
      <c r="C355" s="468"/>
      <c r="D355" s="459" t="s">
        <v>271</v>
      </c>
      <c r="E355" s="674">
        <f>56000</f>
        <v>56000</v>
      </c>
      <c r="F355" s="440">
        <f>1/3</f>
        <v>0.33333333333333331</v>
      </c>
      <c r="G355" s="432">
        <f>ROUND(F355*E355,0)</f>
        <v>18667</v>
      </c>
      <c r="H355" s="460"/>
    </row>
    <row r="356" spans="1:8">
      <c r="A356" s="469"/>
      <c r="B356" s="467"/>
      <c r="C356" s="468"/>
      <c r="D356" s="459"/>
      <c r="E356" s="430"/>
      <c r="F356" s="431"/>
      <c r="G356" s="432">
        <f>ROUND(F356*E356,0)</f>
        <v>0</v>
      </c>
      <c r="H356" s="460"/>
    </row>
    <row r="357" spans="1:8">
      <c r="A357" s="469"/>
      <c r="B357" s="467"/>
      <c r="C357" s="468"/>
      <c r="D357" s="459"/>
      <c r="E357" s="430"/>
      <c r="F357" s="431"/>
      <c r="G357" s="432">
        <f>ROUND(F357*E357,0)</f>
        <v>0</v>
      </c>
      <c r="H357" s="460"/>
    </row>
    <row r="358" spans="1:8">
      <c r="A358" s="469"/>
      <c r="B358" s="467"/>
      <c r="C358" s="468"/>
      <c r="D358" s="459"/>
      <c r="E358" s="430"/>
      <c r="F358" s="431"/>
      <c r="G358" s="432"/>
      <c r="H358" s="460"/>
    </row>
    <row r="359" spans="1:8">
      <c r="A359" s="469" t="s">
        <v>93</v>
      </c>
      <c r="B359" s="467"/>
      <c r="C359" s="471">
        <v>0.05</v>
      </c>
      <c r="D359" s="459"/>
      <c r="E359" s="430"/>
      <c r="F359" s="431"/>
      <c r="G359" s="432">
        <f>SUM(G355:G358)*C359</f>
        <v>933.35</v>
      </c>
      <c r="H359" s="460"/>
    </row>
    <row r="360" spans="1:8" ht="13.5" thickBot="1">
      <c r="A360" s="472"/>
      <c r="B360" s="473"/>
      <c r="C360" s="474"/>
      <c r="D360" s="464"/>
      <c r="E360" s="433"/>
      <c r="F360" s="434"/>
      <c r="G360" s="435"/>
      <c r="H360" s="465"/>
    </row>
    <row r="361" spans="1:8" ht="13.5" thickBot="1">
      <c r="A361" s="436"/>
      <c r="B361" s="436"/>
      <c r="C361" s="436"/>
      <c r="D361" s="436"/>
      <c r="E361" s="436"/>
      <c r="F361" s="436"/>
      <c r="G361" s="437" t="s">
        <v>86</v>
      </c>
      <c r="H361" s="466">
        <f>SUM(G355:G360)</f>
        <v>19600.349999999999</v>
      </c>
    </row>
    <row r="362" spans="1:8" ht="13.5" thickBot="1">
      <c r="A362" s="450" t="s">
        <v>94</v>
      </c>
      <c r="B362" s="450"/>
      <c r="C362" s="436"/>
      <c r="D362" s="436"/>
      <c r="E362" s="436"/>
      <c r="F362" s="436"/>
      <c r="G362" s="436"/>
      <c r="H362" s="436"/>
    </row>
    <row r="363" spans="1:8">
      <c r="A363" s="1345" t="s">
        <v>95</v>
      </c>
      <c r="B363" s="1346"/>
      <c r="C363" s="1347"/>
      <c r="D363" s="438" t="s">
        <v>88</v>
      </c>
      <c r="E363" s="438" t="s">
        <v>89</v>
      </c>
      <c r="F363" s="438" t="s">
        <v>90</v>
      </c>
      <c r="G363" s="439" t="s">
        <v>84</v>
      </c>
      <c r="H363" s="457"/>
    </row>
    <row r="364" spans="1:8">
      <c r="A364" s="458"/>
      <c r="B364" s="467"/>
      <c r="C364" s="468"/>
      <c r="D364" s="459"/>
      <c r="E364" s="430"/>
      <c r="F364" s="440"/>
      <c r="G364" s="440">
        <f>+F364*E364</f>
        <v>0</v>
      </c>
      <c r="H364" s="460"/>
    </row>
    <row r="365" spans="1:8" ht="13.5" thickBot="1">
      <c r="A365" s="1342" t="s">
        <v>235</v>
      </c>
      <c r="B365" s="1343"/>
      <c r="C365" s="1344"/>
      <c r="D365" s="475" t="s">
        <v>237</v>
      </c>
      <c r="E365" s="433">
        <v>1750</v>
      </c>
      <c r="F365" s="434">
        <v>1</v>
      </c>
      <c r="G365" s="441">
        <f>+F365*E365</f>
        <v>1750</v>
      </c>
      <c r="H365" s="460"/>
    </row>
    <row r="366" spans="1:8" ht="13.5" thickBot="1">
      <c r="A366" s="436"/>
      <c r="B366" s="436"/>
      <c r="C366" s="436"/>
      <c r="D366" s="436"/>
      <c r="E366" s="436"/>
      <c r="F366" s="436"/>
      <c r="G366" s="437" t="s">
        <v>86</v>
      </c>
      <c r="H366" s="466">
        <f>SUM(G364:G365)</f>
        <v>1750</v>
      </c>
    </row>
    <row r="367" spans="1:8" ht="13.5" thickBot="1">
      <c r="A367" s="450" t="s">
        <v>96</v>
      </c>
      <c r="B367" s="450"/>
      <c r="C367" s="436"/>
      <c r="D367" s="436"/>
      <c r="E367" s="436"/>
      <c r="F367" s="436"/>
      <c r="G367" s="436"/>
      <c r="H367" s="436"/>
    </row>
    <row r="368" spans="1:8">
      <c r="A368" s="476" t="s">
        <v>97</v>
      </c>
      <c r="B368" s="438"/>
      <c r="C368" s="438" t="s">
        <v>98</v>
      </c>
      <c r="D368" s="438" t="s">
        <v>99</v>
      </c>
      <c r="E368" s="442" t="s">
        <v>100</v>
      </c>
      <c r="F368" s="443" t="s">
        <v>83</v>
      </c>
      <c r="G368" s="444" t="s">
        <v>84</v>
      </c>
      <c r="H368" s="477"/>
    </row>
    <row r="369" spans="1:8">
      <c r="A369" s="478" t="s">
        <v>101</v>
      </c>
      <c r="B369" s="467"/>
      <c r="C369" s="479">
        <f>PERSONAL!$E$32</f>
        <v>87200</v>
      </c>
      <c r="D369" s="480">
        <f>PERSONAL!$F$31</f>
        <v>1.7431000000000001</v>
      </c>
      <c r="E369" s="440">
        <f>+D369*C369</f>
        <v>151998.32</v>
      </c>
      <c r="F369" s="440">
        <v>23</v>
      </c>
      <c r="G369" s="445">
        <f>ROUND(E369/F369,0)</f>
        <v>6609</v>
      </c>
      <c r="H369" s="451"/>
    </row>
    <row r="370" spans="1:8">
      <c r="A370" s="478"/>
      <c r="B370" s="467"/>
      <c r="C370" s="479"/>
      <c r="D370" s="480"/>
      <c r="E370" s="440"/>
      <c r="F370" s="440"/>
      <c r="G370" s="445"/>
      <c r="H370" s="451"/>
    </row>
    <row r="371" spans="1:8">
      <c r="A371" s="478"/>
      <c r="B371" s="468"/>
      <c r="C371" s="430"/>
      <c r="D371" s="459"/>
      <c r="E371" s="430"/>
      <c r="F371" s="440"/>
      <c r="G371" s="445"/>
      <c r="H371" s="451"/>
    </row>
    <row r="372" spans="1:8" ht="13.5" thickBot="1">
      <c r="A372" s="481"/>
      <c r="B372" s="474"/>
      <c r="C372" s="474"/>
      <c r="D372" s="474"/>
      <c r="E372" s="474"/>
      <c r="F372" s="474"/>
      <c r="G372" s="482"/>
      <c r="H372" s="482"/>
    </row>
    <row r="373" spans="1:8" ht="13.5" thickBot="1">
      <c r="A373" s="436"/>
      <c r="B373" s="436"/>
      <c r="C373" s="436"/>
      <c r="D373" s="436"/>
      <c r="E373" s="436"/>
      <c r="F373" s="436"/>
      <c r="G373" s="437" t="s">
        <v>86</v>
      </c>
      <c r="H373" s="466">
        <f>SUM(G369:G372)</f>
        <v>6609</v>
      </c>
    </row>
    <row r="374" spans="1:8" ht="13.5" thickBot="1">
      <c r="A374" s="436"/>
      <c r="B374" s="436"/>
      <c r="C374" s="436"/>
      <c r="D374" s="436"/>
      <c r="E374" s="436"/>
      <c r="F374" s="436"/>
      <c r="G374" s="483"/>
      <c r="H374" s="436"/>
    </row>
    <row r="375" spans="1:8" ht="13.5" thickBot="1">
      <c r="A375" s="436"/>
      <c r="B375" s="436"/>
      <c r="C375" s="436"/>
      <c r="D375" s="436"/>
      <c r="E375" s="484" t="s">
        <v>102</v>
      </c>
      <c r="F375" s="485"/>
      <c r="G375" s="485"/>
      <c r="H375" s="466">
        <f>H352+H361+H366+H373</f>
        <v>28289.35</v>
      </c>
    </row>
    <row r="376" spans="1:8" ht="13.5" thickBot="1">
      <c r="A376" s="450" t="s">
        <v>103</v>
      </c>
      <c r="B376" s="450"/>
      <c r="C376" s="436"/>
      <c r="D376" s="436"/>
      <c r="E376" s="436"/>
      <c r="F376" s="436"/>
      <c r="G376" s="436"/>
      <c r="H376" s="436"/>
    </row>
    <row r="377" spans="1:8">
      <c r="A377" s="487" t="s">
        <v>80</v>
      </c>
      <c r="B377" s="488"/>
      <c r="C377" s="488"/>
      <c r="D377" s="488"/>
      <c r="E377" s="489"/>
      <c r="F377" s="490" t="s">
        <v>104</v>
      </c>
      <c r="G377" s="491" t="s">
        <v>105</v>
      </c>
      <c r="H377" s="457"/>
    </row>
    <row r="378" spans="1:8">
      <c r="A378" s="469" t="s">
        <v>106</v>
      </c>
      <c r="B378" s="467"/>
      <c r="C378" s="467"/>
      <c r="D378" s="467"/>
      <c r="E378" s="468"/>
      <c r="F378" s="492">
        <f>PRESUPUESTO!$E$222</f>
        <v>0.109</v>
      </c>
      <c r="G378" s="493">
        <f>+F378*H375</f>
        <v>3083.5391499999996</v>
      </c>
      <c r="H378" s="550"/>
    </row>
    <row r="379" spans="1:8">
      <c r="A379" s="469" t="s">
        <v>107</v>
      </c>
      <c r="B379" s="467"/>
      <c r="C379" s="467"/>
      <c r="D379" s="467"/>
      <c r="E379" s="468"/>
      <c r="F379" s="492">
        <f>PRESUPUESTO!$E$223</f>
        <v>0.05</v>
      </c>
      <c r="G379" s="493">
        <f>+F379*H375</f>
        <v>1414.4675</v>
      </c>
      <c r="H379" s="550"/>
    </row>
    <row r="380" spans="1:8" ht="13.5" thickBot="1">
      <c r="A380" s="472" t="s">
        <v>108</v>
      </c>
      <c r="B380" s="473"/>
      <c r="C380" s="473"/>
      <c r="D380" s="473"/>
      <c r="E380" s="474"/>
      <c r="F380" s="494">
        <v>0</v>
      </c>
      <c r="G380" s="495">
        <f>+F380*H375</f>
        <v>0</v>
      </c>
      <c r="H380" s="465"/>
    </row>
    <row r="381" spans="1:8" ht="13.5" thickBot="1">
      <c r="A381" s="436"/>
      <c r="B381" s="436"/>
      <c r="C381" s="436"/>
      <c r="D381" s="436"/>
      <c r="E381" s="436"/>
      <c r="F381" s="436"/>
      <c r="G381" s="437" t="s">
        <v>86</v>
      </c>
      <c r="H381" s="496">
        <f>SUM(G378:G380)</f>
        <v>4498.0066499999994</v>
      </c>
    </row>
    <row r="382" spans="1:8" ht="13.5" thickBot="1">
      <c r="A382" s="436"/>
      <c r="B382" s="436"/>
      <c r="C382" s="436"/>
      <c r="D382" s="436"/>
      <c r="E382" s="436"/>
      <c r="F382" s="436"/>
      <c r="G382" s="436"/>
      <c r="H382" s="436"/>
    </row>
    <row r="383" spans="1:8" ht="13.5" thickBot="1">
      <c r="C383" s="436"/>
      <c r="D383" s="484" t="s">
        <v>109</v>
      </c>
      <c r="E383" s="485"/>
      <c r="F383" s="485"/>
      <c r="G383" s="485"/>
      <c r="H383" s="466">
        <f>ROUND((H375+H381),0)</f>
        <v>32787</v>
      </c>
    </row>
    <row r="385" spans="1:8" ht="15">
      <c r="A385" s="186" t="s">
        <v>77</v>
      </c>
    </row>
    <row r="386" spans="1:8" ht="13.5" thickBot="1"/>
    <row r="387" spans="1:8">
      <c r="A387" s="1348" t="s">
        <v>213</v>
      </c>
      <c r="B387" s="1349"/>
      <c r="C387" s="1350"/>
      <c r="D387" s="448"/>
      <c r="E387" s="448"/>
      <c r="F387" s="448"/>
      <c r="G387" s="448"/>
      <c r="H387" s="449"/>
    </row>
    <row r="388" spans="1:8">
      <c r="A388" s="1351"/>
      <c r="B388" s="1352"/>
      <c r="C388" s="1353"/>
      <c r="D388" s="436"/>
      <c r="E388" s="450" t="s">
        <v>78</v>
      </c>
      <c r="F388" s="436"/>
      <c r="G388" s="436"/>
      <c r="H388" s="451"/>
    </row>
    <row r="389" spans="1:8" ht="13.5" thickBot="1">
      <c r="A389" s="1354"/>
      <c r="B389" s="1355"/>
      <c r="C389" s="1356"/>
      <c r="D389" s="452"/>
      <c r="E389" s="453"/>
      <c r="F389" s="453"/>
      <c r="G389" s="453"/>
      <c r="H389" s="454"/>
    </row>
    <row r="390" spans="1:8">
      <c r="A390" s="455"/>
      <c r="B390" s="436"/>
      <c r="C390" s="436"/>
      <c r="D390" s="436"/>
      <c r="E390" s="436"/>
      <c r="F390" s="436"/>
      <c r="G390" s="436"/>
      <c r="H390" s="436"/>
    </row>
    <row r="391" spans="1:8">
      <c r="A391" s="455" t="s">
        <v>1228</v>
      </c>
      <c r="B391" s="456" t="str">
        <f>+PRESUPUESTO!$B$156</f>
        <v>PISOS Y ENCHAPES</v>
      </c>
      <c r="C391" s="436"/>
      <c r="E391" s="456"/>
      <c r="G391" s="456" t="s">
        <v>1123</v>
      </c>
      <c r="H391" s="436" t="str">
        <f>+PRESUPUESTO!$A$167</f>
        <v>9.2.5</v>
      </c>
    </row>
    <row r="392" spans="1:8" s="931" customFormat="1" ht="57" customHeight="1">
      <c r="A392" s="928" t="s">
        <v>1122</v>
      </c>
      <c r="B392" s="1375" t="str">
        <f>VLOOKUP(H391,PRESUPUESTO!$A$18:$F$251,2,FALSE)</f>
        <v>Suministro e instalación de baldosa tipo 1, guia de invidentes color amarillo de 20x20x3 cm. Para rectas. Instalada de acuerdo a detalles.</v>
      </c>
      <c r="C392" s="1375"/>
      <c r="D392" s="1375"/>
      <c r="E392" s="1375"/>
      <c r="F392" s="1375"/>
      <c r="G392" s="929" t="s">
        <v>9</v>
      </c>
      <c r="H392" s="1024" t="str">
        <f>VLOOKUP(H391,PRESUPUESTO!$A$18:$F$251,3,FALSE)</f>
        <v>ml</v>
      </c>
    </row>
    <row r="393" spans="1:8">
      <c r="A393" s="562"/>
      <c r="B393" s="562"/>
      <c r="C393" s="562"/>
      <c r="D393" s="562"/>
      <c r="E393" s="562"/>
      <c r="F393" s="562"/>
      <c r="G393" s="456"/>
      <c r="H393" s="436"/>
    </row>
    <row r="394" spans="1:8">
      <c r="A394" s="456"/>
      <c r="B394" s="456"/>
      <c r="C394" s="436"/>
      <c r="D394" s="456"/>
      <c r="E394" s="456"/>
      <c r="F394" s="456"/>
      <c r="G394" s="456"/>
      <c r="H394" s="436"/>
    </row>
    <row r="395" spans="1:8" ht="13.5" thickBot="1">
      <c r="A395" s="450" t="s">
        <v>79</v>
      </c>
      <c r="B395" s="450"/>
      <c r="C395" s="436"/>
      <c r="D395" s="436"/>
      <c r="E395" s="436"/>
      <c r="F395" s="436"/>
      <c r="G395" s="436"/>
      <c r="H395" s="436"/>
    </row>
    <row r="396" spans="1:8">
      <c r="A396" s="1345" t="s">
        <v>80</v>
      </c>
      <c r="B396" s="1346"/>
      <c r="C396" s="1347"/>
      <c r="D396" s="438" t="s">
        <v>81</v>
      </c>
      <c r="E396" s="438" t="s">
        <v>82</v>
      </c>
      <c r="F396" s="438" t="s">
        <v>83</v>
      </c>
      <c r="G396" s="439" t="s">
        <v>84</v>
      </c>
      <c r="H396" s="457"/>
    </row>
    <row r="397" spans="1:8">
      <c r="A397" s="1357" t="s">
        <v>85</v>
      </c>
      <c r="B397" s="1358"/>
      <c r="C397" s="1359"/>
      <c r="D397" s="459"/>
      <c r="E397" s="440"/>
      <c r="F397" s="440"/>
      <c r="G397" s="432">
        <f>ROUND(H421*0.05,0)</f>
        <v>988</v>
      </c>
      <c r="H397" s="460"/>
    </row>
    <row r="398" spans="1:8">
      <c r="A398" s="1357" t="s">
        <v>779</v>
      </c>
      <c r="B398" s="1358"/>
      <c r="C398" s="1359"/>
      <c r="D398" s="461"/>
      <c r="E398" s="462">
        <v>18000</v>
      </c>
      <c r="F398" s="440">
        <f>+F417*4</f>
        <v>48</v>
      </c>
      <c r="G398" s="432">
        <f>+E398/F398</f>
        <v>375</v>
      </c>
      <c r="H398" s="460"/>
    </row>
    <row r="399" spans="1:8" ht="13.5" thickBot="1">
      <c r="A399" s="1342"/>
      <c r="B399" s="1343"/>
      <c r="C399" s="1344"/>
      <c r="D399" s="464"/>
      <c r="E399" s="433"/>
      <c r="F399" s="434"/>
      <c r="G399" s="435"/>
      <c r="H399" s="465"/>
    </row>
    <row r="400" spans="1:8" ht="13.5" thickBot="1">
      <c r="A400" s="436"/>
      <c r="B400" s="436"/>
      <c r="C400" s="436"/>
      <c r="D400" s="436"/>
      <c r="E400" s="436"/>
      <c r="F400" s="436"/>
      <c r="G400" s="437" t="s">
        <v>86</v>
      </c>
      <c r="H400" s="466">
        <f>SUM(G397:G399)</f>
        <v>1363</v>
      </c>
    </row>
    <row r="401" spans="1:8" ht="13.5" thickBot="1">
      <c r="A401" s="450" t="s">
        <v>87</v>
      </c>
      <c r="B401" s="450"/>
      <c r="C401" s="436"/>
      <c r="D401" s="436"/>
      <c r="E401" s="436"/>
      <c r="F401" s="436"/>
      <c r="G401" s="436"/>
      <c r="H401" s="436"/>
    </row>
    <row r="402" spans="1:8">
      <c r="A402" s="1345" t="s">
        <v>80</v>
      </c>
      <c r="B402" s="1346"/>
      <c r="C402" s="1347"/>
      <c r="D402" s="438" t="s">
        <v>88</v>
      </c>
      <c r="E402" s="438" t="s">
        <v>89</v>
      </c>
      <c r="F402" s="438" t="s">
        <v>90</v>
      </c>
      <c r="G402" s="439" t="s">
        <v>84</v>
      </c>
      <c r="H402" s="457"/>
    </row>
    <row r="403" spans="1:8">
      <c r="A403" s="458" t="s">
        <v>358</v>
      </c>
      <c r="B403" s="467"/>
      <c r="C403" s="468"/>
      <c r="D403" s="459" t="s">
        <v>545</v>
      </c>
      <c r="E403" s="674">
        <v>3530</v>
      </c>
      <c r="F403" s="686">
        <f>ROUND((1/(0.2)),0)</f>
        <v>5</v>
      </c>
      <c r="G403" s="432">
        <f>ROUND(F403*E403,0)</f>
        <v>17650</v>
      </c>
      <c r="H403" s="460"/>
    </row>
    <row r="404" spans="1:8">
      <c r="A404" s="469" t="s">
        <v>354</v>
      </c>
      <c r="B404" s="467"/>
      <c r="C404" s="468"/>
      <c r="D404" s="459" t="s">
        <v>534</v>
      </c>
      <c r="E404" s="674">
        <f>APA!$H$38</f>
        <v>515738.39333333331</v>
      </c>
      <c r="F404" s="691">
        <f>(0.2*0.2*0.05*F403)</f>
        <v>1.0000000000000002E-2</v>
      </c>
      <c r="G404" s="432">
        <f>ROUND(F404*E404,0)</f>
        <v>5157</v>
      </c>
      <c r="H404" s="460"/>
    </row>
    <row r="405" spans="1:8">
      <c r="A405" s="469"/>
      <c r="B405" s="467"/>
      <c r="C405" s="468"/>
      <c r="D405" s="459"/>
      <c r="E405" s="430"/>
      <c r="F405" s="431"/>
      <c r="G405" s="432">
        <f>ROUND(F405*E405,0)</f>
        <v>0</v>
      </c>
      <c r="H405" s="460"/>
    </row>
    <row r="406" spans="1:8">
      <c r="A406" s="469"/>
      <c r="B406" s="467"/>
      <c r="C406" s="468"/>
      <c r="D406" s="459"/>
      <c r="E406" s="430"/>
      <c r="F406" s="431"/>
      <c r="G406" s="432"/>
      <c r="H406" s="460"/>
    </row>
    <row r="407" spans="1:8">
      <c r="A407" s="469" t="s">
        <v>93</v>
      </c>
      <c r="B407" s="467"/>
      <c r="C407" s="471">
        <v>0.05</v>
      </c>
      <c r="D407" s="459"/>
      <c r="E407" s="430"/>
      <c r="F407" s="431"/>
      <c r="G407" s="432">
        <f>SUM(G403:G406)*C407</f>
        <v>1140.3500000000001</v>
      </c>
      <c r="H407" s="460"/>
    </row>
    <row r="408" spans="1:8" ht="13.5" thickBot="1">
      <c r="A408" s="472"/>
      <c r="B408" s="473"/>
      <c r="C408" s="474"/>
      <c r="D408" s="464"/>
      <c r="E408" s="433"/>
      <c r="F408" s="434"/>
      <c r="G408" s="435"/>
      <c r="H408" s="465"/>
    </row>
    <row r="409" spans="1:8" ht="13.5" thickBot="1">
      <c r="A409" s="436"/>
      <c r="B409" s="436"/>
      <c r="C409" s="436"/>
      <c r="D409" s="436"/>
      <c r="E409" s="436"/>
      <c r="F409" s="436"/>
      <c r="G409" s="437" t="s">
        <v>86</v>
      </c>
      <c r="H409" s="466">
        <f>SUM(G403:G408)</f>
        <v>23947.35</v>
      </c>
    </row>
    <row r="410" spans="1:8" ht="13.5" thickBot="1">
      <c r="A410" s="450" t="s">
        <v>94</v>
      </c>
      <c r="B410" s="450"/>
      <c r="C410" s="436"/>
      <c r="D410" s="436"/>
      <c r="E410" s="436"/>
      <c r="F410" s="436"/>
      <c r="G410" s="436"/>
      <c r="H410" s="436"/>
    </row>
    <row r="411" spans="1:8">
      <c r="A411" s="1345" t="s">
        <v>95</v>
      </c>
      <c r="B411" s="1346"/>
      <c r="C411" s="1347"/>
      <c r="D411" s="438" t="s">
        <v>88</v>
      </c>
      <c r="E411" s="438" t="s">
        <v>89</v>
      </c>
      <c r="F411" s="438" t="s">
        <v>90</v>
      </c>
      <c r="G411" s="439" t="s">
        <v>84</v>
      </c>
      <c r="H411" s="457"/>
    </row>
    <row r="412" spans="1:8">
      <c r="A412" s="1357" t="s">
        <v>353</v>
      </c>
      <c r="B412" s="1358"/>
      <c r="C412" s="1359"/>
      <c r="D412" s="459" t="s">
        <v>545</v>
      </c>
      <c r="E412" s="430">
        <v>650</v>
      </c>
      <c r="F412" s="440">
        <f>F403</f>
        <v>5</v>
      </c>
      <c r="G412" s="440">
        <f>+F412*E412</f>
        <v>3250</v>
      </c>
      <c r="H412" s="460"/>
    </row>
    <row r="413" spans="1:8" ht="13.5" thickBot="1">
      <c r="A413" s="1342" t="s">
        <v>235</v>
      </c>
      <c r="B413" s="1343"/>
      <c r="C413" s="1344"/>
      <c r="D413" s="475" t="s">
        <v>545</v>
      </c>
      <c r="E413" s="433">
        <v>20</v>
      </c>
      <c r="F413" s="434">
        <f>F403</f>
        <v>5</v>
      </c>
      <c r="G413" s="441">
        <f>+F413*E413</f>
        <v>100</v>
      </c>
      <c r="H413" s="460"/>
    </row>
    <row r="414" spans="1:8" ht="13.5" thickBot="1">
      <c r="A414" s="436"/>
      <c r="B414" s="436"/>
      <c r="C414" s="436"/>
      <c r="D414" s="436"/>
      <c r="E414" s="436"/>
      <c r="F414" s="436"/>
      <c r="G414" s="437" t="s">
        <v>86</v>
      </c>
      <c r="H414" s="466">
        <f>SUM(G412:G413)</f>
        <v>3350</v>
      </c>
    </row>
    <row r="415" spans="1:8" ht="13.5" thickBot="1">
      <c r="A415" s="450" t="s">
        <v>96</v>
      </c>
      <c r="B415" s="450"/>
      <c r="C415" s="436"/>
      <c r="D415" s="436"/>
      <c r="E415" s="436"/>
      <c r="F415" s="436"/>
      <c r="G415" s="436"/>
      <c r="H415" s="436"/>
    </row>
    <row r="416" spans="1:8">
      <c r="A416" s="476" t="s">
        <v>97</v>
      </c>
      <c r="B416" s="438"/>
      <c r="C416" s="438" t="s">
        <v>98</v>
      </c>
      <c r="D416" s="438" t="s">
        <v>99</v>
      </c>
      <c r="E416" s="442" t="s">
        <v>100</v>
      </c>
      <c r="F416" s="443" t="s">
        <v>83</v>
      </c>
      <c r="G416" s="444" t="s">
        <v>84</v>
      </c>
      <c r="H416" s="477"/>
    </row>
    <row r="417" spans="1:8">
      <c r="A417" s="478" t="s">
        <v>227</v>
      </c>
      <c r="B417" s="468"/>
      <c r="C417" s="479">
        <f>PERSONAL!$E$31</f>
        <v>48800</v>
      </c>
      <c r="D417" s="480">
        <f>PERSONAL!$F$31</f>
        <v>1.7431000000000001</v>
      </c>
      <c r="E417" s="440">
        <f>+D417*C417</f>
        <v>85063.28</v>
      </c>
      <c r="F417" s="440">
        <v>12</v>
      </c>
      <c r="G417" s="445">
        <f>ROUND(E417/F417,0)</f>
        <v>7089</v>
      </c>
      <c r="H417" s="451"/>
    </row>
    <row r="418" spans="1:8">
      <c r="A418" s="478" t="s">
        <v>101</v>
      </c>
      <c r="B418" s="467"/>
      <c r="C418" s="479">
        <f>PERSONAL!$E$32</f>
        <v>87200</v>
      </c>
      <c r="D418" s="480">
        <f>PERSONAL!$F$31</f>
        <v>1.7431000000000001</v>
      </c>
      <c r="E418" s="440">
        <f>+D418*C418</f>
        <v>151998.32</v>
      </c>
      <c r="F418" s="440">
        <f>+F417</f>
        <v>12</v>
      </c>
      <c r="G418" s="445">
        <f>ROUND(E418/F418,0)</f>
        <v>12667</v>
      </c>
      <c r="H418" s="451"/>
    </row>
    <row r="419" spans="1:8">
      <c r="A419" s="478"/>
      <c r="B419" s="468"/>
      <c r="C419" s="430"/>
      <c r="D419" s="459"/>
      <c r="E419" s="430"/>
      <c r="F419" s="440"/>
      <c r="G419" s="445"/>
      <c r="H419" s="451"/>
    </row>
    <row r="420" spans="1:8" ht="13.5" thickBot="1">
      <c r="A420" s="481"/>
      <c r="B420" s="474"/>
      <c r="C420" s="474"/>
      <c r="D420" s="474"/>
      <c r="E420" s="474"/>
      <c r="F420" s="474"/>
      <c r="G420" s="482"/>
      <c r="H420" s="482"/>
    </row>
    <row r="421" spans="1:8" ht="13.5" thickBot="1">
      <c r="A421" s="436"/>
      <c r="B421" s="436"/>
      <c r="C421" s="436"/>
      <c r="D421" s="436"/>
      <c r="E421" s="436"/>
      <c r="F421" s="436"/>
      <c r="G421" s="437" t="s">
        <v>86</v>
      </c>
      <c r="H421" s="466">
        <f>SUM(G417:G420)</f>
        <v>19756</v>
      </c>
    </row>
    <row r="422" spans="1:8" ht="13.5" thickBot="1">
      <c r="A422" s="436"/>
      <c r="B422" s="436"/>
      <c r="C422" s="436"/>
      <c r="D422" s="436"/>
      <c r="E422" s="436"/>
      <c r="F422" s="436"/>
      <c r="G422" s="483"/>
      <c r="H422" s="436"/>
    </row>
    <row r="423" spans="1:8" ht="13.5" thickBot="1">
      <c r="A423" s="436"/>
      <c r="B423" s="436"/>
      <c r="C423" s="436"/>
      <c r="D423" s="436"/>
      <c r="E423" s="484" t="s">
        <v>102</v>
      </c>
      <c r="F423" s="485"/>
      <c r="G423" s="485"/>
      <c r="H423" s="466">
        <f>H400+H409+H414+H421</f>
        <v>48416.35</v>
      </c>
    </row>
    <row r="424" spans="1:8" ht="13.5" thickBot="1">
      <c r="A424" s="450" t="s">
        <v>103</v>
      </c>
      <c r="B424" s="450"/>
      <c r="C424" s="436"/>
      <c r="D424" s="436"/>
      <c r="E424" s="436"/>
      <c r="F424" s="436"/>
      <c r="G424" s="436"/>
      <c r="H424" s="436"/>
    </row>
    <row r="425" spans="1:8">
      <c r="A425" s="487" t="s">
        <v>80</v>
      </c>
      <c r="B425" s="488"/>
      <c r="C425" s="488"/>
      <c r="D425" s="488"/>
      <c r="E425" s="489"/>
      <c r="F425" s="490" t="s">
        <v>104</v>
      </c>
      <c r="G425" s="491" t="s">
        <v>105</v>
      </c>
      <c r="H425" s="457"/>
    </row>
    <row r="426" spans="1:8">
      <c r="A426" s="469" t="s">
        <v>106</v>
      </c>
      <c r="B426" s="467"/>
      <c r="C426" s="467"/>
      <c r="D426" s="467"/>
      <c r="E426" s="468"/>
      <c r="F426" s="492">
        <f>PRESUPUESTO!$E$222</f>
        <v>0.109</v>
      </c>
      <c r="G426" s="493">
        <f>+F426*H423</f>
        <v>5277.3821499999995</v>
      </c>
      <c r="H426" s="550"/>
    </row>
    <row r="427" spans="1:8">
      <c r="A427" s="469" t="s">
        <v>107</v>
      </c>
      <c r="B427" s="467"/>
      <c r="C427" s="467"/>
      <c r="D427" s="467"/>
      <c r="E427" s="468"/>
      <c r="F427" s="492">
        <f>PRESUPUESTO!$E$223</f>
        <v>0.05</v>
      </c>
      <c r="G427" s="493">
        <f>+F427*H423</f>
        <v>2420.8175000000001</v>
      </c>
      <c r="H427" s="550"/>
    </row>
    <row r="428" spans="1:8" ht="13.5" thickBot="1">
      <c r="A428" s="472" t="s">
        <v>108</v>
      </c>
      <c r="B428" s="473"/>
      <c r="C428" s="473"/>
      <c r="D428" s="473"/>
      <c r="E428" s="474"/>
      <c r="F428" s="494">
        <v>0</v>
      </c>
      <c r="G428" s="495">
        <f>+F428*H423</f>
        <v>0</v>
      </c>
      <c r="H428" s="465"/>
    </row>
    <row r="429" spans="1:8" ht="13.5" thickBot="1">
      <c r="A429" s="436"/>
      <c r="B429" s="436"/>
      <c r="C429" s="436"/>
      <c r="D429" s="436"/>
      <c r="E429" s="436"/>
      <c r="F429" s="436"/>
      <c r="G429" s="437" t="s">
        <v>86</v>
      </c>
      <c r="H429" s="496">
        <f>SUM(G426:G428)</f>
        <v>7698.1996499999996</v>
      </c>
    </row>
    <row r="430" spans="1:8" ht="13.5" thickBot="1">
      <c r="A430" s="436"/>
      <c r="B430" s="436"/>
      <c r="C430" s="436"/>
      <c r="D430" s="436"/>
      <c r="E430" s="436"/>
      <c r="F430" s="436"/>
      <c r="G430" s="436"/>
      <c r="H430" s="436"/>
    </row>
    <row r="431" spans="1:8" ht="13.5" thickBot="1">
      <c r="C431" s="436"/>
      <c r="D431" s="484" t="s">
        <v>109</v>
      </c>
      <c r="E431" s="485"/>
      <c r="F431" s="485"/>
      <c r="G431" s="485"/>
      <c r="H431" s="466">
        <f>ROUND((H423+H429),0)</f>
        <v>56115</v>
      </c>
    </row>
    <row r="433" spans="1:8" ht="15">
      <c r="A433" s="186" t="s">
        <v>77</v>
      </c>
    </row>
    <row r="434" spans="1:8" ht="13.5" thickBot="1"/>
    <row r="435" spans="1:8">
      <c r="A435" s="1348" t="s">
        <v>213</v>
      </c>
      <c r="B435" s="1349"/>
      <c r="C435" s="1350"/>
      <c r="D435" s="448"/>
      <c r="E435" s="448"/>
      <c r="F435" s="448"/>
      <c r="G435" s="448"/>
      <c r="H435" s="449"/>
    </row>
    <row r="436" spans="1:8">
      <c r="A436" s="1351"/>
      <c r="B436" s="1352"/>
      <c r="C436" s="1353"/>
      <c r="D436" s="436"/>
      <c r="E436" s="450" t="s">
        <v>78</v>
      </c>
      <c r="F436" s="436"/>
      <c r="G436" s="436"/>
      <c r="H436" s="451"/>
    </row>
    <row r="437" spans="1:8" ht="13.5" thickBot="1">
      <c r="A437" s="1354"/>
      <c r="B437" s="1355"/>
      <c r="C437" s="1356"/>
      <c r="D437" s="452"/>
      <c r="E437" s="453"/>
      <c r="F437" s="453"/>
      <c r="G437" s="453"/>
      <c r="H437" s="454"/>
    </row>
    <row r="438" spans="1:8">
      <c r="A438" s="455"/>
      <c r="B438" s="436"/>
      <c r="C438" s="436"/>
      <c r="D438" s="436"/>
      <c r="E438" s="436"/>
      <c r="F438" s="436"/>
      <c r="G438" s="436"/>
      <c r="H438" s="436"/>
    </row>
    <row r="439" spans="1:8">
      <c r="A439" s="455" t="s">
        <v>1228</v>
      </c>
      <c r="B439" s="456" t="str">
        <f>+PRESUPUESTO!$B$156</f>
        <v>PISOS Y ENCHAPES</v>
      </c>
      <c r="C439" s="436"/>
      <c r="E439" s="456"/>
      <c r="G439" s="456" t="s">
        <v>1123</v>
      </c>
      <c r="H439" s="436" t="str">
        <f>+PRESUPUESTO!$A$168</f>
        <v>9.2.6</v>
      </c>
    </row>
    <row r="440" spans="1:8" s="931" customFormat="1" ht="57" customHeight="1">
      <c r="A440" s="928" t="s">
        <v>1122</v>
      </c>
      <c r="B440" s="1375" t="str">
        <f>VLOOKUP(H439,PRESUPUESTO!$A$18:$F$251,2,FALSE)</f>
        <v>Suministro e instalación de baldosa tipo 2, guia de invidentes color amarillo de 20x20x3 cm. Para rampas, desniveles y giros. Instalada de acuerdo a detalles.</v>
      </c>
      <c r="C440" s="1375"/>
      <c r="D440" s="1375"/>
      <c r="E440" s="1375"/>
      <c r="F440" s="1375"/>
      <c r="G440" s="929" t="s">
        <v>9</v>
      </c>
      <c r="H440" s="1024" t="str">
        <f>VLOOKUP(H439,PRESUPUESTO!$A$18:$F$251,3,FALSE)</f>
        <v>ml</v>
      </c>
    </row>
    <row r="441" spans="1:8">
      <c r="A441" s="562"/>
      <c r="B441" s="562"/>
      <c r="C441" s="562"/>
      <c r="D441" s="562"/>
      <c r="E441" s="562"/>
      <c r="F441" s="562"/>
      <c r="G441" s="456"/>
      <c r="H441" s="436"/>
    </row>
    <row r="442" spans="1:8">
      <c r="A442" s="456"/>
      <c r="B442" s="456"/>
      <c r="C442" s="436"/>
      <c r="D442" s="456"/>
      <c r="E442" s="456"/>
      <c r="F442" s="456"/>
      <c r="G442" s="456"/>
      <c r="H442" s="436"/>
    </row>
    <row r="443" spans="1:8" ht="13.5" thickBot="1">
      <c r="A443" s="450" t="s">
        <v>79</v>
      </c>
      <c r="B443" s="450"/>
      <c r="C443" s="436"/>
      <c r="D443" s="436"/>
      <c r="E443" s="436"/>
      <c r="F443" s="436"/>
      <c r="G443" s="436"/>
      <c r="H443" s="436"/>
    </row>
    <row r="444" spans="1:8">
      <c r="A444" s="1345" t="s">
        <v>80</v>
      </c>
      <c r="B444" s="1346"/>
      <c r="C444" s="1347"/>
      <c r="D444" s="438" t="s">
        <v>81</v>
      </c>
      <c r="E444" s="438" t="s">
        <v>82</v>
      </c>
      <c r="F444" s="438" t="s">
        <v>83</v>
      </c>
      <c r="G444" s="439" t="s">
        <v>84</v>
      </c>
      <c r="H444" s="457"/>
    </row>
    <row r="445" spans="1:8">
      <c r="A445" s="1357" t="s">
        <v>85</v>
      </c>
      <c r="B445" s="1358"/>
      <c r="C445" s="1359"/>
      <c r="D445" s="459"/>
      <c r="E445" s="440"/>
      <c r="F445" s="440"/>
      <c r="G445" s="432">
        <f>ROUND(H469*0.05,0)</f>
        <v>988</v>
      </c>
      <c r="H445" s="460"/>
    </row>
    <row r="446" spans="1:8">
      <c r="A446" s="1357" t="s">
        <v>779</v>
      </c>
      <c r="B446" s="1358"/>
      <c r="C446" s="1359"/>
      <c r="D446" s="461"/>
      <c r="E446" s="462">
        <v>18000</v>
      </c>
      <c r="F446" s="440">
        <f>+F465*4</f>
        <v>48</v>
      </c>
      <c r="G446" s="432">
        <f>+E446/F446</f>
        <v>375</v>
      </c>
      <c r="H446" s="460"/>
    </row>
    <row r="447" spans="1:8" ht="13.5" thickBot="1">
      <c r="A447" s="1342"/>
      <c r="B447" s="1343"/>
      <c r="C447" s="1344"/>
      <c r="D447" s="464"/>
      <c r="E447" s="433"/>
      <c r="F447" s="434"/>
      <c r="G447" s="435"/>
      <c r="H447" s="465"/>
    </row>
    <row r="448" spans="1:8" ht="13.5" thickBot="1">
      <c r="A448" s="436"/>
      <c r="B448" s="436"/>
      <c r="C448" s="436"/>
      <c r="D448" s="436"/>
      <c r="E448" s="436"/>
      <c r="F448" s="436"/>
      <c r="G448" s="437" t="s">
        <v>86</v>
      </c>
      <c r="H448" s="466">
        <f>SUM(G445:G447)</f>
        <v>1363</v>
      </c>
    </row>
    <row r="449" spans="1:8" ht="13.5" thickBot="1">
      <c r="A449" s="450" t="s">
        <v>87</v>
      </c>
      <c r="B449" s="450"/>
      <c r="C449" s="436"/>
      <c r="D449" s="436"/>
      <c r="E449" s="436"/>
      <c r="F449" s="436"/>
      <c r="G449" s="436"/>
      <c r="H449" s="436"/>
    </row>
    <row r="450" spans="1:8">
      <c r="A450" s="1345" t="s">
        <v>80</v>
      </c>
      <c r="B450" s="1346"/>
      <c r="C450" s="1347"/>
      <c r="D450" s="438" t="s">
        <v>88</v>
      </c>
      <c r="E450" s="438" t="s">
        <v>89</v>
      </c>
      <c r="F450" s="438" t="s">
        <v>90</v>
      </c>
      <c r="G450" s="439" t="s">
        <v>84</v>
      </c>
      <c r="H450" s="457"/>
    </row>
    <row r="451" spans="1:8">
      <c r="A451" s="458" t="s">
        <v>358</v>
      </c>
      <c r="B451" s="467"/>
      <c r="C451" s="468"/>
      <c r="D451" s="459" t="s">
        <v>545</v>
      </c>
      <c r="E451" s="674">
        <v>3530</v>
      </c>
      <c r="F451" s="686">
        <f>ROUND((1/(0.2)),0)</f>
        <v>5</v>
      </c>
      <c r="G451" s="432">
        <f>ROUND(F451*E451,0)</f>
        <v>17650</v>
      </c>
      <c r="H451" s="460"/>
    </row>
    <row r="452" spans="1:8">
      <c r="A452" s="469" t="s">
        <v>354</v>
      </c>
      <c r="B452" s="467"/>
      <c r="C452" s="468"/>
      <c r="D452" s="459" t="s">
        <v>534</v>
      </c>
      <c r="E452" s="674">
        <f>APA!$H$38</f>
        <v>515738.39333333331</v>
      </c>
      <c r="F452" s="691">
        <f>(0.2*0.2*0.05*F451)</f>
        <v>1.0000000000000002E-2</v>
      </c>
      <c r="G452" s="432">
        <f>ROUND(F452*E452,0)</f>
        <v>5157</v>
      </c>
      <c r="H452" s="460"/>
    </row>
    <row r="453" spans="1:8">
      <c r="A453" s="469"/>
      <c r="B453" s="467"/>
      <c r="C453" s="468"/>
      <c r="D453" s="459"/>
      <c r="E453" s="430"/>
      <c r="F453" s="431"/>
      <c r="G453" s="432">
        <f>ROUND(F453*E453,0)</f>
        <v>0</v>
      </c>
      <c r="H453" s="460"/>
    </row>
    <row r="454" spans="1:8">
      <c r="A454" s="469"/>
      <c r="B454" s="467"/>
      <c r="C454" s="468"/>
      <c r="D454" s="459"/>
      <c r="E454" s="430"/>
      <c r="F454" s="431"/>
      <c r="G454" s="432"/>
      <c r="H454" s="460"/>
    </row>
    <row r="455" spans="1:8">
      <c r="A455" s="469" t="s">
        <v>93</v>
      </c>
      <c r="B455" s="467"/>
      <c r="C455" s="471">
        <v>0.05</v>
      </c>
      <c r="D455" s="459"/>
      <c r="E455" s="430"/>
      <c r="F455" s="431"/>
      <c r="G455" s="432">
        <f>SUM(G451:G454)*C455</f>
        <v>1140.3500000000001</v>
      </c>
      <c r="H455" s="460"/>
    </row>
    <row r="456" spans="1:8" ht="13.5" thickBot="1">
      <c r="A456" s="472"/>
      <c r="B456" s="473"/>
      <c r="C456" s="474"/>
      <c r="D456" s="464"/>
      <c r="E456" s="433"/>
      <c r="F456" s="434"/>
      <c r="G456" s="435"/>
      <c r="H456" s="465"/>
    </row>
    <row r="457" spans="1:8" ht="13.5" thickBot="1">
      <c r="A457" s="436"/>
      <c r="B457" s="436"/>
      <c r="C457" s="436"/>
      <c r="D457" s="436"/>
      <c r="E457" s="436"/>
      <c r="F457" s="436"/>
      <c r="G457" s="437" t="s">
        <v>86</v>
      </c>
      <c r="H457" s="466">
        <f>SUM(G451:G456)</f>
        <v>23947.35</v>
      </c>
    </row>
    <row r="458" spans="1:8" ht="13.5" thickBot="1">
      <c r="A458" s="450" t="s">
        <v>94</v>
      </c>
      <c r="B458" s="450"/>
      <c r="C458" s="436"/>
      <c r="D458" s="436"/>
      <c r="E458" s="436"/>
      <c r="F458" s="436"/>
      <c r="G458" s="436"/>
      <c r="H458" s="436"/>
    </row>
    <row r="459" spans="1:8">
      <c r="A459" s="1345" t="s">
        <v>95</v>
      </c>
      <c r="B459" s="1346"/>
      <c r="C459" s="1347"/>
      <c r="D459" s="438" t="s">
        <v>88</v>
      </c>
      <c r="E459" s="438" t="s">
        <v>89</v>
      </c>
      <c r="F459" s="438" t="s">
        <v>90</v>
      </c>
      <c r="G459" s="439" t="s">
        <v>84</v>
      </c>
      <c r="H459" s="457"/>
    </row>
    <row r="460" spans="1:8">
      <c r="A460" s="1357" t="s">
        <v>353</v>
      </c>
      <c r="B460" s="1358"/>
      <c r="C460" s="1359"/>
      <c r="D460" s="459" t="s">
        <v>545</v>
      </c>
      <c r="E460" s="430">
        <v>650</v>
      </c>
      <c r="F460" s="440">
        <f>F451</f>
        <v>5</v>
      </c>
      <c r="G460" s="440">
        <f>+F460*E460</f>
        <v>3250</v>
      </c>
      <c r="H460" s="460"/>
    </row>
    <row r="461" spans="1:8" ht="13.5" thickBot="1">
      <c r="A461" s="1342" t="s">
        <v>235</v>
      </c>
      <c r="B461" s="1343"/>
      <c r="C461" s="1344"/>
      <c r="D461" s="475" t="s">
        <v>545</v>
      </c>
      <c r="E461" s="433">
        <v>20</v>
      </c>
      <c r="F461" s="434">
        <f>F451</f>
        <v>5</v>
      </c>
      <c r="G461" s="441">
        <f>+F461*E461</f>
        <v>100</v>
      </c>
      <c r="H461" s="460"/>
    </row>
    <row r="462" spans="1:8" ht="13.5" thickBot="1">
      <c r="A462" s="436"/>
      <c r="B462" s="436"/>
      <c r="C462" s="436"/>
      <c r="D462" s="436"/>
      <c r="E462" s="436"/>
      <c r="F462" s="436"/>
      <c r="G462" s="437" t="s">
        <v>86</v>
      </c>
      <c r="H462" s="466">
        <f>SUM(G460:G461)</f>
        <v>3350</v>
      </c>
    </row>
    <row r="463" spans="1:8" ht="13.5" thickBot="1">
      <c r="A463" s="450" t="s">
        <v>96</v>
      </c>
      <c r="B463" s="450"/>
      <c r="C463" s="436"/>
      <c r="D463" s="436"/>
      <c r="E463" s="436"/>
      <c r="F463" s="436"/>
      <c r="G463" s="436"/>
      <c r="H463" s="436"/>
    </row>
    <row r="464" spans="1:8">
      <c r="A464" s="476" t="s">
        <v>97</v>
      </c>
      <c r="B464" s="438"/>
      <c r="C464" s="438" t="s">
        <v>98</v>
      </c>
      <c r="D464" s="438" t="s">
        <v>99</v>
      </c>
      <c r="E464" s="442" t="s">
        <v>100</v>
      </c>
      <c r="F464" s="443" t="s">
        <v>83</v>
      </c>
      <c r="G464" s="444" t="s">
        <v>84</v>
      </c>
      <c r="H464" s="477"/>
    </row>
    <row r="465" spans="1:8">
      <c r="A465" s="478" t="s">
        <v>227</v>
      </c>
      <c r="B465" s="468"/>
      <c r="C465" s="479">
        <f>PERSONAL!$E$31</f>
        <v>48800</v>
      </c>
      <c r="D465" s="480">
        <f>PERSONAL!$F$31</f>
        <v>1.7431000000000001</v>
      </c>
      <c r="E465" s="440">
        <f>+D465*C465</f>
        <v>85063.28</v>
      </c>
      <c r="F465" s="440">
        <v>12</v>
      </c>
      <c r="G465" s="445">
        <f>ROUND(E465/F465,0)</f>
        <v>7089</v>
      </c>
      <c r="H465" s="451"/>
    </row>
    <row r="466" spans="1:8">
      <c r="A466" s="478" t="s">
        <v>101</v>
      </c>
      <c r="B466" s="467"/>
      <c r="C466" s="479">
        <f>PERSONAL!$E$32</f>
        <v>87200</v>
      </c>
      <c r="D466" s="480">
        <f>PERSONAL!$F$31</f>
        <v>1.7431000000000001</v>
      </c>
      <c r="E466" s="440">
        <f>+D466*C466</f>
        <v>151998.32</v>
      </c>
      <c r="F466" s="440">
        <f>+F465</f>
        <v>12</v>
      </c>
      <c r="G466" s="445">
        <f>ROUND(E466/F466,0)</f>
        <v>12667</v>
      </c>
      <c r="H466" s="451"/>
    </row>
    <row r="467" spans="1:8">
      <c r="A467" s="478"/>
      <c r="B467" s="468"/>
      <c r="C467" s="430"/>
      <c r="D467" s="459"/>
      <c r="E467" s="430"/>
      <c r="F467" s="440"/>
      <c r="G467" s="445"/>
      <c r="H467" s="451"/>
    </row>
    <row r="468" spans="1:8" ht="13.5" thickBot="1">
      <c r="A468" s="481"/>
      <c r="B468" s="474"/>
      <c r="C468" s="474"/>
      <c r="D468" s="474"/>
      <c r="E468" s="474"/>
      <c r="F468" s="474"/>
      <c r="G468" s="482"/>
      <c r="H468" s="482"/>
    </row>
    <row r="469" spans="1:8" ht="13.5" thickBot="1">
      <c r="A469" s="436"/>
      <c r="B469" s="436"/>
      <c r="C469" s="436"/>
      <c r="D469" s="436"/>
      <c r="E469" s="436"/>
      <c r="F469" s="436"/>
      <c r="G469" s="437" t="s">
        <v>86</v>
      </c>
      <c r="H469" s="466">
        <f>SUM(G465:G468)</f>
        <v>19756</v>
      </c>
    </row>
    <row r="470" spans="1:8" ht="13.5" thickBot="1">
      <c r="A470" s="436"/>
      <c r="B470" s="436"/>
      <c r="C470" s="436"/>
      <c r="D470" s="436"/>
      <c r="E470" s="436"/>
      <c r="F470" s="436"/>
      <c r="G470" s="483"/>
      <c r="H470" s="436"/>
    </row>
    <row r="471" spans="1:8" ht="13.5" thickBot="1">
      <c r="A471" s="436"/>
      <c r="B471" s="436"/>
      <c r="C471" s="436"/>
      <c r="D471" s="436"/>
      <c r="E471" s="484" t="s">
        <v>102</v>
      </c>
      <c r="F471" s="485"/>
      <c r="G471" s="485"/>
      <c r="H471" s="466">
        <f>H448+H457+H462+H469</f>
        <v>48416.35</v>
      </c>
    </row>
    <row r="472" spans="1:8" ht="13.5" thickBot="1">
      <c r="A472" s="450" t="s">
        <v>103</v>
      </c>
      <c r="B472" s="450"/>
      <c r="C472" s="436"/>
      <c r="D472" s="436"/>
      <c r="E472" s="436"/>
      <c r="F472" s="436"/>
      <c r="G472" s="436"/>
      <c r="H472" s="436"/>
    </row>
    <row r="473" spans="1:8">
      <c r="A473" s="487" t="s">
        <v>80</v>
      </c>
      <c r="B473" s="488"/>
      <c r="C473" s="488"/>
      <c r="D473" s="488"/>
      <c r="E473" s="489"/>
      <c r="F473" s="490" t="s">
        <v>104</v>
      </c>
      <c r="G473" s="491" t="s">
        <v>105</v>
      </c>
      <c r="H473" s="457"/>
    </row>
    <row r="474" spans="1:8">
      <c r="A474" s="469" t="s">
        <v>106</v>
      </c>
      <c r="B474" s="467"/>
      <c r="C474" s="467"/>
      <c r="D474" s="467"/>
      <c r="E474" s="468"/>
      <c r="F474" s="492">
        <f>PRESUPUESTO!$E$222</f>
        <v>0.109</v>
      </c>
      <c r="G474" s="493">
        <f>+F474*H471</f>
        <v>5277.3821499999995</v>
      </c>
      <c r="H474" s="550"/>
    </row>
    <row r="475" spans="1:8">
      <c r="A475" s="469" t="s">
        <v>107</v>
      </c>
      <c r="B475" s="467"/>
      <c r="C475" s="467"/>
      <c r="D475" s="467"/>
      <c r="E475" s="468"/>
      <c r="F475" s="492">
        <f>PRESUPUESTO!$E$223</f>
        <v>0.05</v>
      </c>
      <c r="G475" s="493">
        <f>+F475*H471</f>
        <v>2420.8175000000001</v>
      </c>
      <c r="H475" s="550"/>
    </row>
    <row r="476" spans="1:8" ht="13.5" thickBot="1">
      <c r="A476" s="472" t="s">
        <v>108</v>
      </c>
      <c r="B476" s="473"/>
      <c r="C476" s="473"/>
      <c r="D476" s="473"/>
      <c r="E476" s="474"/>
      <c r="F476" s="494">
        <v>0</v>
      </c>
      <c r="G476" s="495">
        <f>+F476*H471</f>
        <v>0</v>
      </c>
      <c r="H476" s="465"/>
    </row>
    <row r="477" spans="1:8" ht="13.5" thickBot="1">
      <c r="A477" s="436"/>
      <c r="B477" s="436"/>
      <c r="C477" s="436"/>
      <c r="D477" s="436"/>
      <c r="E477" s="436"/>
      <c r="F477" s="436"/>
      <c r="G477" s="437" t="s">
        <v>86</v>
      </c>
      <c r="H477" s="496">
        <f>SUM(G474:G476)</f>
        <v>7698.1996499999996</v>
      </c>
    </row>
    <row r="478" spans="1:8" ht="13.5" thickBot="1">
      <c r="A478" s="436"/>
      <c r="B478" s="436"/>
      <c r="C478" s="436"/>
      <c r="D478" s="436"/>
      <c r="E478" s="436"/>
      <c r="F478" s="436"/>
      <c r="G478" s="436"/>
      <c r="H478" s="436"/>
    </row>
    <row r="479" spans="1:8" ht="13.5" thickBot="1">
      <c r="C479" s="436"/>
      <c r="D479" s="484" t="s">
        <v>109</v>
      </c>
      <c r="E479" s="485"/>
      <c r="F479" s="485"/>
      <c r="G479" s="485"/>
      <c r="H479" s="466">
        <f>ROUND((H471+H477),0)</f>
        <v>56115</v>
      </c>
    </row>
    <row r="481" spans="1:8" ht="15">
      <c r="A481" s="186" t="s">
        <v>77</v>
      </c>
    </row>
    <row r="482" spans="1:8" ht="13.5" thickBot="1"/>
    <row r="483" spans="1:8">
      <c r="A483" s="1348" t="s">
        <v>213</v>
      </c>
      <c r="B483" s="1349"/>
      <c r="C483" s="1350"/>
      <c r="D483" s="448"/>
      <c r="E483" s="448"/>
      <c r="F483" s="448"/>
      <c r="G483" s="448"/>
      <c r="H483" s="449"/>
    </row>
    <row r="484" spans="1:8">
      <c r="A484" s="1351"/>
      <c r="B484" s="1352"/>
      <c r="C484" s="1353"/>
      <c r="D484" s="436"/>
      <c r="E484" s="450" t="s">
        <v>78</v>
      </c>
      <c r="F484" s="436"/>
      <c r="G484" s="436"/>
      <c r="H484" s="451"/>
    </row>
    <row r="485" spans="1:8" ht="13.5" thickBot="1">
      <c r="A485" s="1354"/>
      <c r="B485" s="1355"/>
      <c r="C485" s="1356"/>
      <c r="D485" s="452"/>
      <c r="E485" s="453"/>
      <c r="F485" s="453"/>
      <c r="G485" s="453"/>
      <c r="H485" s="454"/>
    </row>
    <row r="486" spans="1:8">
      <c r="A486" s="455"/>
      <c r="B486" s="436"/>
      <c r="C486" s="436"/>
      <c r="D486" s="436"/>
      <c r="E486" s="436"/>
      <c r="F486" s="436"/>
      <c r="G486" s="436"/>
      <c r="H486" s="436"/>
    </row>
    <row r="487" spans="1:8">
      <c r="A487" s="455" t="s">
        <v>1228</v>
      </c>
      <c r="B487" s="456" t="str">
        <f>+PRESUPUESTO!$B$156</f>
        <v>PISOS Y ENCHAPES</v>
      </c>
      <c r="C487" s="436"/>
      <c r="E487" s="456"/>
      <c r="G487" s="456" t="s">
        <v>1123</v>
      </c>
      <c r="H487" s="436" t="str">
        <f>+PRESUPUESTO!$A$169</f>
        <v>9.2.7</v>
      </c>
    </row>
    <row r="488" spans="1:8" s="931" customFormat="1" ht="57" customHeight="1">
      <c r="A488" s="928" t="s">
        <v>1122</v>
      </c>
      <c r="B488" s="1375" t="str">
        <f>VLOOKUP(H487,PRESUPUESTO!$A$18:$F$251,2,FALSE)</f>
        <v>Suministro e instalación de piso en Ucrete. Para locales comerciales.</v>
      </c>
      <c r="C488" s="1375"/>
      <c r="D488" s="1375"/>
      <c r="E488" s="1375"/>
      <c r="F488" s="1375"/>
      <c r="G488" s="929" t="s">
        <v>9</v>
      </c>
      <c r="H488" s="1024" t="str">
        <f>VLOOKUP(H487,PRESUPUESTO!$A$18:$F$251,3,FALSE)</f>
        <v>m2</v>
      </c>
    </row>
    <row r="489" spans="1:8">
      <c r="A489" s="562"/>
      <c r="B489" s="562"/>
      <c r="C489" s="562"/>
      <c r="D489" s="562"/>
      <c r="E489" s="562"/>
      <c r="F489" s="562"/>
      <c r="G489" s="456"/>
      <c r="H489" s="436"/>
    </row>
    <row r="490" spans="1:8">
      <c r="A490" s="456"/>
      <c r="B490" s="456"/>
      <c r="C490" s="436"/>
      <c r="D490" s="456"/>
      <c r="E490" s="456"/>
      <c r="F490" s="456"/>
      <c r="G490" s="456"/>
      <c r="H490" s="436"/>
    </row>
    <row r="491" spans="1:8" ht="13.5" thickBot="1">
      <c r="A491" s="450" t="s">
        <v>79</v>
      </c>
      <c r="B491" s="450"/>
      <c r="C491" s="436"/>
      <c r="D491" s="436"/>
      <c r="E491" s="436"/>
      <c r="F491" s="436"/>
      <c r="G491" s="436"/>
      <c r="H491" s="436"/>
    </row>
    <row r="492" spans="1:8">
      <c r="A492" s="1345" t="s">
        <v>80</v>
      </c>
      <c r="B492" s="1346"/>
      <c r="C492" s="1347"/>
      <c r="D492" s="438" t="s">
        <v>81</v>
      </c>
      <c r="E492" s="438" t="s">
        <v>82</v>
      </c>
      <c r="F492" s="438" t="s">
        <v>83</v>
      </c>
      <c r="G492" s="439" t="s">
        <v>84</v>
      </c>
      <c r="H492" s="457"/>
    </row>
    <row r="493" spans="1:8">
      <c r="A493" s="1357" t="s">
        <v>85</v>
      </c>
      <c r="B493" s="1358"/>
      <c r="C493" s="1359"/>
      <c r="D493" s="459"/>
      <c r="E493" s="440"/>
      <c r="F493" s="440"/>
      <c r="G493" s="432">
        <f>ROUND(H517*0.05,0)</f>
        <v>0</v>
      </c>
      <c r="H493" s="460"/>
    </row>
    <row r="494" spans="1:8">
      <c r="A494" s="1357"/>
      <c r="B494" s="1358"/>
      <c r="C494" s="1359"/>
      <c r="D494" s="461"/>
      <c r="E494" s="462"/>
      <c r="F494" s="440"/>
      <c r="G494" s="432"/>
      <c r="H494" s="460"/>
    </row>
    <row r="495" spans="1:8" ht="13.5" thickBot="1">
      <c r="A495" s="1342"/>
      <c r="B495" s="1343"/>
      <c r="C495" s="1344"/>
      <c r="D495" s="464"/>
      <c r="E495" s="433"/>
      <c r="F495" s="434"/>
      <c r="G495" s="435"/>
      <c r="H495" s="465"/>
    </row>
    <row r="496" spans="1:8" ht="13.5" thickBot="1">
      <c r="A496" s="436"/>
      <c r="B496" s="436"/>
      <c r="C496" s="436"/>
      <c r="D496" s="436"/>
      <c r="E496" s="436"/>
      <c r="F496" s="436"/>
      <c r="G496" s="437" t="s">
        <v>86</v>
      </c>
      <c r="H496" s="466">
        <f>SUM(G493:G495)</f>
        <v>0</v>
      </c>
    </row>
    <row r="497" spans="1:8" ht="13.5" thickBot="1">
      <c r="A497" s="450" t="s">
        <v>87</v>
      </c>
      <c r="B497" s="450"/>
      <c r="C497" s="436"/>
      <c r="D497" s="436"/>
      <c r="E497" s="436"/>
      <c r="F497" s="436"/>
      <c r="G497" s="436"/>
      <c r="H497" s="436"/>
    </row>
    <row r="498" spans="1:8">
      <c r="A498" s="1345" t="s">
        <v>80</v>
      </c>
      <c r="B498" s="1346"/>
      <c r="C498" s="1347"/>
      <c r="D498" s="438" t="s">
        <v>88</v>
      </c>
      <c r="E498" s="438" t="s">
        <v>89</v>
      </c>
      <c r="F498" s="438" t="s">
        <v>90</v>
      </c>
      <c r="G498" s="439" t="s">
        <v>84</v>
      </c>
      <c r="H498" s="457"/>
    </row>
    <row r="499" spans="1:8">
      <c r="A499" s="458" t="s">
        <v>267</v>
      </c>
      <c r="B499" s="467"/>
      <c r="C499" s="468"/>
      <c r="D499" s="459" t="s">
        <v>237</v>
      </c>
      <c r="E499" s="430">
        <f>396750/1.05</f>
        <v>377857.14285714284</v>
      </c>
      <c r="F499" s="440">
        <v>1</v>
      </c>
      <c r="G499" s="432">
        <f>ROUND(F499*E499,0)</f>
        <v>377857</v>
      </c>
      <c r="H499" s="460"/>
    </row>
    <row r="500" spans="1:8">
      <c r="A500" s="469"/>
      <c r="B500" s="467"/>
      <c r="C500" s="468"/>
      <c r="D500" s="459"/>
      <c r="E500" s="430"/>
      <c r="F500" s="431"/>
      <c r="G500" s="432">
        <f>ROUND(F500*E500,0)</f>
        <v>0</v>
      </c>
      <c r="H500" s="460"/>
    </row>
    <row r="501" spans="1:8">
      <c r="A501" s="469"/>
      <c r="B501" s="467"/>
      <c r="C501" s="468"/>
      <c r="D501" s="459"/>
      <c r="E501" s="430"/>
      <c r="F501" s="431"/>
      <c r="G501" s="432">
        <f>ROUND(F501*E501,0)</f>
        <v>0</v>
      </c>
      <c r="H501" s="460"/>
    </row>
    <row r="502" spans="1:8">
      <c r="A502" s="469"/>
      <c r="B502" s="467"/>
      <c r="C502" s="468"/>
      <c r="D502" s="459"/>
      <c r="E502" s="430"/>
      <c r="F502" s="431"/>
      <c r="G502" s="432"/>
      <c r="H502" s="460"/>
    </row>
    <row r="503" spans="1:8">
      <c r="A503" s="469" t="s">
        <v>93</v>
      </c>
      <c r="B503" s="467"/>
      <c r="C503" s="471">
        <v>0.05</v>
      </c>
      <c r="D503" s="459"/>
      <c r="E503" s="430"/>
      <c r="F503" s="431"/>
      <c r="G503" s="432">
        <f>SUM(G499:G502)*C503</f>
        <v>18892.850000000002</v>
      </c>
      <c r="H503" s="460"/>
    </row>
    <row r="504" spans="1:8" ht="13.5" thickBot="1">
      <c r="A504" s="472"/>
      <c r="B504" s="473"/>
      <c r="C504" s="474"/>
      <c r="D504" s="464"/>
      <c r="E504" s="433"/>
      <c r="F504" s="434"/>
      <c r="G504" s="435"/>
      <c r="H504" s="465"/>
    </row>
    <row r="505" spans="1:8" ht="13.5" thickBot="1">
      <c r="A505" s="436"/>
      <c r="B505" s="436"/>
      <c r="C505" s="436"/>
      <c r="D505" s="436"/>
      <c r="E505" s="436"/>
      <c r="F505" s="436"/>
      <c r="G505" s="437" t="s">
        <v>86</v>
      </c>
      <c r="H505" s="466">
        <f>SUM(G499:G504)</f>
        <v>396749.85</v>
      </c>
    </row>
    <row r="506" spans="1:8" ht="13.5" thickBot="1">
      <c r="A506" s="450" t="s">
        <v>94</v>
      </c>
      <c r="B506" s="450"/>
      <c r="C506" s="436"/>
      <c r="D506" s="436"/>
      <c r="E506" s="436"/>
      <c r="F506" s="436"/>
      <c r="G506" s="436"/>
      <c r="H506" s="436"/>
    </row>
    <row r="507" spans="1:8">
      <c r="A507" s="1345" t="s">
        <v>95</v>
      </c>
      <c r="B507" s="1346"/>
      <c r="C507" s="1347"/>
      <c r="D507" s="438" t="s">
        <v>88</v>
      </c>
      <c r="E507" s="438" t="s">
        <v>89</v>
      </c>
      <c r="F507" s="438" t="s">
        <v>90</v>
      </c>
      <c r="G507" s="439" t="s">
        <v>84</v>
      </c>
      <c r="H507" s="457"/>
    </row>
    <row r="508" spans="1:8">
      <c r="A508" s="458"/>
      <c r="B508" s="467"/>
      <c r="C508" s="468"/>
      <c r="D508" s="459"/>
      <c r="E508" s="430"/>
      <c r="F508" s="440"/>
      <c r="G508" s="440">
        <f>+F508*E508</f>
        <v>0</v>
      </c>
      <c r="H508" s="460"/>
    </row>
    <row r="509" spans="1:8" ht="13.5" thickBot="1">
      <c r="A509" s="1342"/>
      <c r="B509" s="1343"/>
      <c r="C509" s="1344"/>
      <c r="D509" s="475"/>
      <c r="E509" s="433"/>
      <c r="F509" s="434"/>
      <c r="G509" s="441">
        <f>+F509*E509</f>
        <v>0</v>
      </c>
      <c r="H509" s="460"/>
    </row>
    <row r="510" spans="1:8" ht="13.5" thickBot="1">
      <c r="A510" s="436"/>
      <c r="B510" s="436"/>
      <c r="C510" s="436"/>
      <c r="D510" s="436"/>
      <c r="E510" s="436"/>
      <c r="F510" s="436"/>
      <c r="G510" s="437" t="s">
        <v>86</v>
      </c>
      <c r="H510" s="466">
        <f>SUM(G508:G509)</f>
        <v>0</v>
      </c>
    </row>
    <row r="511" spans="1:8" ht="13.5" thickBot="1">
      <c r="A511" s="450" t="s">
        <v>96</v>
      </c>
      <c r="B511" s="450"/>
      <c r="C511" s="436"/>
      <c r="D511" s="436"/>
      <c r="E511" s="436"/>
      <c r="F511" s="436"/>
      <c r="G511" s="436"/>
      <c r="H511" s="436"/>
    </row>
    <row r="512" spans="1:8">
      <c r="A512" s="476" t="s">
        <v>97</v>
      </c>
      <c r="B512" s="438"/>
      <c r="C512" s="438" t="s">
        <v>98</v>
      </c>
      <c r="D512" s="438" t="s">
        <v>99</v>
      </c>
      <c r="E512" s="442" t="s">
        <v>100</v>
      </c>
      <c r="F512" s="443" t="s">
        <v>83</v>
      </c>
      <c r="G512" s="444" t="s">
        <v>84</v>
      </c>
      <c r="H512" s="477"/>
    </row>
    <row r="513" spans="1:9">
      <c r="A513" s="478"/>
      <c r="B513" s="468"/>
      <c r="C513" s="479"/>
      <c r="D513" s="480"/>
      <c r="E513" s="440"/>
      <c r="F513" s="440"/>
      <c r="G513" s="445"/>
      <c r="H513" s="451"/>
    </row>
    <row r="514" spans="1:9">
      <c r="A514" s="478"/>
      <c r="B514" s="467"/>
      <c r="C514" s="479"/>
      <c r="D514" s="480"/>
      <c r="E514" s="440"/>
      <c r="F514" s="440"/>
      <c r="G514" s="445"/>
      <c r="H514" s="451"/>
    </row>
    <row r="515" spans="1:9">
      <c r="A515" s="478"/>
      <c r="B515" s="468"/>
      <c r="C515" s="430"/>
      <c r="D515" s="459"/>
      <c r="E515" s="430"/>
      <c r="F515" s="440"/>
      <c r="G515" s="445"/>
      <c r="H515" s="451"/>
    </row>
    <row r="516" spans="1:9" ht="13.5" thickBot="1">
      <c r="A516" s="481"/>
      <c r="B516" s="474"/>
      <c r="C516" s="474"/>
      <c r="D516" s="474"/>
      <c r="E516" s="474"/>
      <c r="F516" s="474"/>
      <c r="G516" s="482"/>
      <c r="H516" s="482"/>
    </row>
    <row r="517" spans="1:9" ht="13.5" thickBot="1">
      <c r="A517" s="436"/>
      <c r="B517" s="436"/>
      <c r="C517" s="436"/>
      <c r="D517" s="436"/>
      <c r="E517" s="436"/>
      <c r="F517" s="436"/>
      <c r="G517" s="437" t="s">
        <v>86</v>
      </c>
      <c r="H517" s="466">
        <f>SUM(G513:G516)</f>
        <v>0</v>
      </c>
    </row>
    <row r="518" spans="1:9" ht="13.5" thickBot="1">
      <c r="A518" s="436"/>
      <c r="B518" s="436"/>
      <c r="C518" s="436"/>
      <c r="D518" s="436"/>
      <c r="E518" s="436"/>
      <c r="F518" s="436"/>
      <c r="G518" s="483"/>
      <c r="H518" s="436"/>
    </row>
    <row r="519" spans="1:9" ht="13.5" thickBot="1">
      <c r="A519" s="436"/>
      <c r="B519" s="436"/>
      <c r="C519" s="436"/>
      <c r="D519" s="436"/>
      <c r="E519" s="484" t="s">
        <v>102</v>
      </c>
      <c r="F519" s="485"/>
      <c r="G519" s="485"/>
      <c r="H519" s="466">
        <f>H496+H505+H510+H517</f>
        <v>396749.85</v>
      </c>
      <c r="I519" s="556"/>
    </row>
    <row r="520" spans="1:9" ht="13.5" thickBot="1">
      <c r="A520" s="450" t="s">
        <v>103</v>
      </c>
      <c r="B520" s="450"/>
      <c r="C520" s="436"/>
      <c r="D520" s="436"/>
      <c r="E520" s="436"/>
      <c r="F520" s="436"/>
      <c r="G520" s="436"/>
      <c r="H520" s="436"/>
    </row>
    <row r="521" spans="1:9">
      <c r="A521" s="487" t="s">
        <v>80</v>
      </c>
      <c r="B521" s="488"/>
      <c r="C521" s="488"/>
      <c r="D521" s="488"/>
      <c r="E521" s="489"/>
      <c r="F521" s="490" t="s">
        <v>104</v>
      </c>
      <c r="G521" s="491" t="s">
        <v>105</v>
      </c>
      <c r="H521" s="457"/>
    </row>
    <row r="522" spans="1:9">
      <c r="A522" s="469" t="s">
        <v>106</v>
      </c>
      <c r="B522" s="467"/>
      <c r="C522" s="467"/>
      <c r="D522" s="467"/>
      <c r="E522" s="468"/>
      <c r="F522" s="492">
        <f>PRESUPUESTO!$E$222</f>
        <v>0.109</v>
      </c>
      <c r="G522" s="493">
        <f>+F522*H519</f>
        <v>43245.733649999995</v>
      </c>
      <c r="H522" s="550"/>
    </row>
    <row r="523" spans="1:9">
      <c r="A523" s="469" t="s">
        <v>107</v>
      </c>
      <c r="B523" s="467"/>
      <c r="C523" s="467"/>
      <c r="D523" s="467"/>
      <c r="E523" s="468"/>
      <c r="F523" s="492">
        <f>PRESUPUESTO!$E$223</f>
        <v>0.05</v>
      </c>
      <c r="G523" s="493">
        <f>+F523*H519</f>
        <v>19837.4925</v>
      </c>
      <c r="H523" s="550"/>
    </row>
    <row r="524" spans="1:9" ht="13.5" thickBot="1">
      <c r="A524" s="472" t="s">
        <v>108</v>
      </c>
      <c r="B524" s="473"/>
      <c r="C524" s="473"/>
      <c r="D524" s="473"/>
      <c r="E524" s="474"/>
      <c r="F524" s="494">
        <v>0</v>
      </c>
      <c r="G524" s="495">
        <f>+F524*H519</f>
        <v>0</v>
      </c>
      <c r="H524" s="465"/>
    </row>
    <row r="525" spans="1:9" ht="13.5" thickBot="1">
      <c r="A525" s="436"/>
      <c r="B525" s="436"/>
      <c r="C525" s="436"/>
      <c r="D525" s="436"/>
      <c r="E525" s="436"/>
      <c r="F525" s="436"/>
      <c r="G525" s="437" t="s">
        <v>86</v>
      </c>
      <c r="H525" s="496">
        <f>SUM(G522:G524)</f>
        <v>63083.226149999995</v>
      </c>
    </row>
    <row r="526" spans="1:9" ht="13.5" thickBot="1">
      <c r="A526" s="436"/>
      <c r="B526" s="436"/>
      <c r="C526" s="436"/>
      <c r="D526" s="436"/>
      <c r="E526" s="436"/>
      <c r="F526" s="436"/>
      <c r="G526" s="436"/>
      <c r="H526" s="436"/>
    </row>
    <row r="527" spans="1:9" ht="13.5" thickBot="1">
      <c r="C527" s="436"/>
      <c r="D527" s="484" t="s">
        <v>109</v>
      </c>
      <c r="E527" s="485"/>
      <c r="F527" s="485"/>
      <c r="G527" s="485"/>
      <c r="H527" s="466">
        <f>ROUND((H519+H525),0)</f>
        <v>459833</v>
      </c>
    </row>
    <row r="529" spans="1:8" ht="15">
      <c r="A529" s="186" t="s">
        <v>77</v>
      </c>
    </row>
    <row r="530" spans="1:8" ht="13.5" thickBot="1"/>
    <row r="531" spans="1:8">
      <c r="A531" s="1348" t="s">
        <v>213</v>
      </c>
      <c r="B531" s="1349"/>
      <c r="C531" s="1350"/>
      <c r="D531" s="448"/>
      <c r="E531" s="448"/>
      <c r="F531" s="448"/>
      <c r="G531" s="448"/>
      <c r="H531" s="449"/>
    </row>
    <row r="532" spans="1:8">
      <c r="A532" s="1351"/>
      <c r="B532" s="1352"/>
      <c r="C532" s="1353"/>
      <c r="D532" s="436"/>
      <c r="E532" s="450" t="s">
        <v>78</v>
      </c>
      <c r="F532" s="436"/>
      <c r="G532" s="436"/>
      <c r="H532" s="451"/>
    </row>
    <row r="533" spans="1:8" ht="13.5" thickBot="1">
      <c r="A533" s="1354"/>
      <c r="B533" s="1355"/>
      <c r="C533" s="1356"/>
      <c r="D533" s="452"/>
      <c r="E533" s="453"/>
      <c r="F533" s="453"/>
      <c r="G533" s="453"/>
      <c r="H533" s="454"/>
    </row>
    <row r="534" spans="1:8">
      <c r="A534" s="455"/>
      <c r="B534" s="436"/>
      <c r="C534" s="436"/>
      <c r="D534" s="436"/>
      <c r="E534" s="436"/>
      <c r="F534" s="436"/>
      <c r="G534" s="436"/>
      <c r="H534" s="436"/>
    </row>
    <row r="535" spans="1:8">
      <c r="A535" s="455" t="s">
        <v>1228</v>
      </c>
      <c r="B535" s="456" t="str">
        <f>+PRESUPUESTO!$B$156</f>
        <v>PISOS Y ENCHAPES</v>
      </c>
      <c r="C535" s="436"/>
      <c r="E535" s="456"/>
      <c r="G535" s="456" t="s">
        <v>1123</v>
      </c>
      <c r="H535" s="436" t="str">
        <f>+PRESUPUESTO!$A$170</f>
        <v>9.2.8</v>
      </c>
    </row>
    <row r="536" spans="1:8" s="931" customFormat="1" ht="57" customHeight="1">
      <c r="A536" s="928" t="s">
        <v>1122</v>
      </c>
      <c r="B536" s="1375" t="str">
        <f>VLOOKUP(H535,PRESUPUESTO!$A$18:$F$251,2,FALSE)</f>
        <v>Suministro e instalación de media caña en Ucrete.</v>
      </c>
      <c r="C536" s="1375"/>
      <c r="D536" s="1375"/>
      <c r="E536" s="1375"/>
      <c r="F536" s="1375"/>
      <c r="G536" s="929" t="s">
        <v>9</v>
      </c>
      <c r="H536" s="1024" t="str">
        <f>VLOOKUP(H535,PRESUPUESTO!$A$18:$F$251,3,FALSE)</f>
        <v>ml</v>
      </c>
    </row>
    <row r="537" spans="1:8">
      <c r="A537" s="562"/>
      <c r="B537" s="562"/>
      <c r="C537" s="562"/>
      <c r="D537" s="562"/>
      <c r="E537" s="562"/>
      <c r="F537" s="562"/>
      <c r="G537" s="456"/>
      <c r="H537" s="436"/>
    </row>
    <row r="538" spans="1:8">
      <c r="A538" s="456"/>
      <c r="B538" s="456"/>
      <c r="C538" s="436"/>
      <c r="D538" s="456"/>
      <c r="E538" s="456"/>
      <c r="F538" s="456"/>
      <c r="G538" s="456"/>
      <c r="H538" s="436"/>
    </row>
    <row r="539" spans="1:8" ht="13.5" thickBot="1">
      <c r="A539" s="450" t="s">
        <v>79</v>
      </c>
      <c r="B539" s="450"/>
      <c r="C539" s="436"/>
      <c r="D539" s="436"/>
      <c r="E539" s="436"/>
      <c r="F539" s="436"/>
      <c r="G539" s="436"/>
      <c r="H539" s="436"/>
    </row>
    <row r="540" spans="1:8">
      <c r="A540" s="1345" t="s">
        <v>80</v>
      </c>
      <c r="B540" s="1346"/>
      <c r="C540" s="1347"/>
      <c r="D540" s="438" t="s">
        <v>81</v>
      </c>
      <c r="E540" s="438" t="s">
        <v>82</v>
      </c>
      <c r="F540" s="438" t="s">
        <v>83</v>
      </c>
      <c r="G540" s="439" t="s">
        <v>84</v>
      </c>
      <c r="H540" s="457"/>
    </row>
    <row r="541" spans="1:8">
      <c r="A541" s="1357" t="s">
        <v>85</v>
      </c>
      <c r="B541" s="1358"/>
      <c r="C541" s="1359"/>
      <c r="D541" s="459"/>
      <c r="E541" s="440"/>
      <c r="F541" s="440"/>
      <c r="G541" s="432">
        <f>ROUND(H565*0.05,0)</f>
        <v>0</v>
      </c>
      <c r="H541" s="460"/>
    </row>
    <row r="542" spans="1:8">
      <c r="A542" s="1357"/>
      <c r="B542" s="1358"/>
      <c r="C542" s="1359"/>
      <c r="D542" s="461"/>
      <c r="E542" s="462"/>
      <c r="F542" s="440"/>
      <c r="G542" s="432"/>
      <c r="H542" s="460"/>
    </row>
    <row r="543" spans="1:8" ht="13.5" thickBot="1">
      <c r="A543" s="1342"/>
      <c r="B543" s="1343"/>
      <c r="C543" s="1344"/>
      <c r="D543" s="464"/>
      <c r="E543" s="433"/>
      <c r="F543" s="434"/>
      <c r="G543" s="435"/>
      <c r="H543" s="465"/>
    </row>
    <row r="544" spans="1:8" ht="13.5" thickBot="1">
      <c r="A544" s="436"/>
      <c r="B544" s="436"/>
      <c r="C544" s="436"/>
      <c r="D544" s="436"/>
      <c r="E544" s="436"/>
      <c r="F544" s="436"/>
      <c r="G544" s="437" t="s">
        <v>86</v>
      </c>
      <c r="H544" s="466">
        <f>SUM(G541:G543)</f>
        <v>0</v>
      </c>
    </row>
    <row r="545" spans="1:8" ht="13.5" thickBot="1">
      <c r="A545" s="450" t="s">
        <v>87</v>
      </c>
      <c r="B545" s="450"/>
      <c r="C545" s="436"/>
      <c r="D545" s="436"/>
      <c r="E545" s="436"/>
      <c r="F545" s="436"/>
      <c r="G545" s="436"/>
      <c r="H545" s="436"/>
    </row>
    <row r="546" spans="1:8">
      <c r="A546" s="1345" t="s">
        <v>80</v>
      </c>
      <c r="B546" s="1346"/>
      <c r="C546" s="1347"/>
      <c r="D546" s="438" t="s">
        <v>88</v>
      </c>
      <c r="E546" s="438" t="s">
        <v>89</v>
      </c>
      <c r="F546" s="438" t="s">
        <v>90</v>
      </c>
      <c r="G546" s="439" t="s">
        <v>84</v>
      </c>
      <c r="H546" s="457"/>
    </row>
    <row r="547" spans="1:8">
      <c r="A547" s="458" t="s">
        <v>267</v>
      </c>
      <c r="B547" s="467"/>
      <c r="C547" s="468"/>
      <c r="D547" s="459" t="s">
        <v>271</v>
      </c>
      <c r="E547" s="430">
        <f>143750/1.05</f>
        <v>136904.76190476189</v>
      </c>
      <c r="F547" s="440">
        <v>1</v>
      </c>
      <c r="G547" s="432">
        <f>ROUND(F547*E547,0)</f>
        <v>136905</v>
      </c>
      <c r="H547" s="460"/>
    </row>
    <row r="548" spans="1:8">
      <c r="A548" s="469"/>
      <c r="B548" s="467"/>
      <c r="C548" s="468"/>
      <c r="D548" s="459"/>
      <c r="E548" s="430"/>
      <c r="F548" s="431"/>
      <c r="G548" s="432">
        <f>ROUND(F548*E548,0)</f>
        <v>0</v>
      </c>
      <c r="H548" s="460"/>
    </row>
    <row r="549" spans="1:8">
      <c r="A549" s="469"/>
      <c r="B549" s="467"/>
      <c r="C549" s="468"/>
      <c r="D549" s="459"/>
      <c r="E549" s="430"/>
      <c r="F549" s="431"/>
      <c r="G549" s="432">
        <f>ROUND(F549*E549,0)</f>
        <v>0</v>
      </c>
      <c r="H549" s="460"/>
    </row>
    <row r="550" spans="1:8">
      <c r="A550" s="469"/>
      <c r="B550" s="467"/>
      <c r="C550" s="468"/>
      <c r="D550" s="459"/>
      <c r="E550" s="430"/>
      <c r="F550" s="431"/>
      <c r="G550" s="432"/>
      <c r="H550" s="460"/>
    </row>
    <row r="551" spans="1:8">
      <c r="A551" s="469" t="s">
        <v>93</v>
      </c>
      <c r="B551" s="467"/>
      <c r="C551" s="471">
        <v>0.05</v>
      </c>
      <c r="D551" s="459"/>
      <c r="E551" s="430"/>
      <c r="F551" s="431"/>
      <c r="G551" s="432">
        <f>SUM(G547:G550)*C551</f>
        <v>6845.25</v>
      </c>
      <c r="H551" s="460"/>
    </row>
    <row r="552" spans="1:8" ht="13.5" thickBot="1">
      <c r="A552" s="472"/>
      <c r="B552" s="473"/>
      <c r="C552" s="474"/>
      <c r="D552" s="464"/>
      <c r="E552" s="433"/>
      <c r="F552" s="434"/>
      <c r="G552" s="435"/>
      <c r="H552" s="465"/>
    </row>
    <row r="553" spans="1:8" ht="13.5" thickBot="1">
      <c r="A553" s="436"/>
      <c r="B553" s="436"/>
      <c r="C553" s="436"/>
      <c r="D553" s="436"/>
      <c r="E553" s="436"/>
      <c r="F553" s="436"/>
      <c r="G553" s="437" t="s">
        <v>86</v>
      </c>
      <c r="H553" s="466">
        <f>SUM(G547:G552)</f>
        <v>143750.25</v>
      </c>
    </row>
    <row r="554" spans="1:8" ht="13.5" thickBot="1">
      <c r="A554" s="450" t="s">
        <v>94</v>
      </c>
      <c r="B554" s="450"/>
      <c r="C554" s="436"/>
      <c r="D554" s="436"/>
      <c r="E554" s="436"/>
      <c r="F554" s="436"/>
      <c r="G554" s="436"/>
      <c r="H554" s="436"/>
    </row>
    <row r="555" spans="1:8">
      <c r="A555" s="1345" t="s">
        <v>95</v>
      </c>
      <c r="B555" s="1346"/>
      <c r="C555" s="1347"/>
      <c r="D555" s="438" t="s">
        <v>88</v>
      </c>
      <c r="E555" s="438" t="s">
        <v>89</v>
      </c>
      <c r="F555" s="438" t="s">
        <v>90</v>
      </c>
      <c r="G555" s="439" t="s">
        <v>84</v>
      </c>
      <c r="H555" s="457"/>
    </row>
    <row r="556" spans="1:8">
      <c r="A556" s="458"/>
      <c r="B556" s="467"/>
      <c r="C556" s="468"/>
      <c r="D556" s="459"/>
      <c r="E556" s="430"/>
      <c r="F556" s="440"/>
      <c r="G556" s="440">
        <f>+F556*E556</f>
        <v>0</v>
      </c>
      <c r="H556" s="460"/>
    </row>
    <row r="557" spans="1:8" ht="13.5" thickBot="1">
      <c r="A557" s="1342"/>
      <c r="B557" s="1343"/>
      <c r="C557" s="1344"/>
      <c r="D557" s="475"/>
      <c r="E557" s="433"/>
      <c r="F557" s="434"/>
      <c r="G557" s="441">
        <f>+F557*E557</f>
        <v>0</v>
      </c>
      <c r="H557" s="460"/>
    </row>
    <row r="558" spans="1:8" ht="13.5" thickBot="1">
      <c r="A558" s="436"/>
      <c r="B558" s="436"/>
      <c r="C558" s="436"/>
      <c r="D558" s="436"/>
      <c r="E558" s="436"/>
      <c r="F558" s="436"/>
      <c r="G558" s="437" t="s">
        <v>86</v>
      </c>
      <c r="H558" s="466">
        <f>SUM(G556:G557)</f>
        <v>0</v>
      </c>
    </row>
    <row r="559" spans="1:8" ht="13.5" thickBot="1">
      <c r="A559" s="450" t="s">
        <v>96</v>
      </c>
      <c r="B559" s="450"/>
      <c r="C559" s="436"/>
      <c r="D559" s="436"/>
      <c r="E559" s="436"/>
      <c r="F559" s="436"/>
      <c r="G559" s="436"/>
      <c r="H559" s="436"/>
    </row>
    <row r="560" spans="1:8">
      <c r="A560" s="476" t="s">
        <v>97</v>
      </c>
      <c r="B560" s="438"/>
      <c r="C560" s="438" t="s">
        <v>98</v>
      </c>
      <c r="D560" s="438" t="s">
        <v>99</v>
      </c>
      <c r="E560" s="442" t="s">
        <v>100</v>
      </c>
      <c r="F560" s="443" t="s">
        <v>83</v>
      </c>
      <c r="G560" s="444" t="s">
        <v>84</v>
      </c>
      <c r="H560" s="477"/>
    </row>
    <row r="561" spans="1:9">
      <c r="A561" s="478"/>
      <c r="B561" s="468"/>
      <c r="C561" s="479"/>
      <c r="D561" s="480"/>
      <c r="E561" s="440"/>
      <c r="F561" s="440"/>
      <c r="G561" s="445"/>
      <c r="H561" s="451"/>
    </row>
    <row r="562" spans="1:9">
      <c r="A562" s="478"/>
      <c r="B562" s="467"/>
      <c r="C562" s="479"/>
      <c r="D562" s="480"/>
      <c r="E562" s="440"/>
      <c r="F562" s="440"/>
      <c r="G562" s="445"/>
      <c r="H562" s="451"/>
    </row>
    <row r="563" spans="1:9">
      <c r="A563" s="478"/>
      <c r="B563" s="468"/>
      <c r="C563" s="430"/>
      <c r="D563" s="459"/>
      <c r="E563" s="430"/>
      <c r="F563" s="440"/>
      <c r="G563" s="445"/>
      <c r="H563" s="451"/>
    </row>
    <row r="564" spans="1:9" ht="13.5" thickBot="1">
      <c r="A564" s="481"/>
      <c r="B564" s="474"/>
      <c r="C564" s="474"/>
      <c r="D564" s="474"/>
      <c r="E564" s="474"/>
      <c r="F564" s="474"/>
      <c r="G564" s="482"/>
      <c r="H564" s="482"/>
    </row>
    <row r="565" spans="1:9" ht="13.5" thickBot="1">
      <c r="A565" s="436"/>
      <c r="B565" s="436"/>
      <c r="C565" s="436"/>
      <c r="D565" s="436"/>
      <c r="E565" s="436"/>
      <c r="F565" s="436"/>
      <c r="G565" s="437" t="s">
        <v>86</v>
      </c>
      <c r="H565" s="466">
        <f>SUM(G561:G564)</f>
        <v>0</v>
      </c>
    </row>
    <row r="566" spans="1:9" ht="13.5" thickBot="1">
      <c r="A566" s="436"/>
      <c r="B566" s="436"/>
      <c r="C566" s="436"/>
      <c r="D566" s="436"/>
      <c r="E566" s="436"/>
      <c r="F566" s="436"/>
      <c r="G566" s="483"/>
      <c r="H566" s="436"/>
    </row>
    <row r="567" spans="1:9" ht="13.5" thickBot="1">
      <c r="A567" s="436"/>
      <c r="B567" s="436"/>
      <c r="C567" s="436"/>
      <c r="D567" s="436"/>
      <c r="E567" s="484" t="s">
        <v>102</v>
      </c>
      <c r="F567" s="485"/>
      <c r="G567" s="485"/>
      <c r="H567" s="466">
        <f>H544+H553+H558+H565</f>
        <v>143750.25</v>
      </c>
      <c r="I567" s="556"/>
    </row>
    <row r="568" spans="1:9" ht="13.5" thickBot="1">
      <c r="A568" s="450" t="s">
        <v>103</v>
      </c>
      <c r="B568" s="450"/>
      <c r="C568" s="436"/>
      <c r="D568" s="436"/>
      <c r="E568" s="436"/>
      <c r="F568" s="436"/>
      <c r="G568" s="436"/>
      <c r="H568" s="436"/>
    </row>
    <row r="569" spans="1:9">
      <c r="A569" s="487" t="s">
        <v>80</v>
      </c>
      <c r="B569" s="488"/>
      <c r="C569" s="488"/>
      <c r="D569" s="488"/>
      <c r="E569" s="489"/>
      <c r="F569" s="490" t="s">
        <v>104</v>
      </c>
      <c r="G569" s="491" t="s">
        <v>105</v>
      </c>
      <c r="H569" s="457"/>
    </row>
    <row r="570" spans="1:9">
      <c r="A570" s="469" t="s">
        <v>106</v>
      </c>
      <c r="B570" s="467"/>
      <c r="C570" s="467"/>
      <c r="D570" s="467"/>
      <c r="E570" s="468"/>
      <c r="F570" s="492">
        <f>PRESUPUESTO!$E$222</f>
        <v>0.109</v>
      </c>
      <c r="G570" s="493">
        <f>+F570*H567</f>
        <v>15668.777249999999</v>
      </c>
      <c r="H570" s="550"/>
    </row>
    <row r="571" spans="1:9">
      <c r="A571" s="469" t="s">
        <v>107</v>
      </c>
      <c r="B571" s="467"/>
      <c r="C571" s="467"/>
      <c r="D571" s="467"/>
      <c r="E571" s="468"/>
      <c r="F571" s="492">
        <f>PRESUPUESTO!$E$223</f>
        <v>0.05</v>
      </c>
      <c r="G571" s="493">
        <f>+F571*H567</f>
        <v>7187.5125000000007</v>
      </c>
      <c r="H571" s="550"/>
    </row>
    <row r="572" spans="1:9" ht="13.5" thickBot="1">
      <c r="A572" s="472" t="s">
        <v>108</v>
      </c>
      <c r="B572" s="473"/>
      <c r="C572" s="473"/>
      <c r="D572" s="473"/>
      <c r="E572" s="474"/>
      <c r="F572" s="494">
        <v>0</v>
      </c>
      <c r="G572" s="495">
        <f>+F572*H567</f>
        <v>0</v>
      </c>
      <c r="H572" s="465"/>
    </row>
    <row r="573" spans="1:9" ht="13.5" thickBot="1">
      <c r="A573" s="436"/>
      <c r="B573" s="436"/>
      <c r="C573" s="436"/>
      <c r="D573" s="436"/>
      <c r="E573" s="436"/>
      <c r="F573" s="436"/>
      <c r="G573" s="437" t="s">
        <v>86</v>
      </c>
      <c r="H573" s="496">
        <f>SUM(G570:G572)</f>
        <v>22856.28975</v>
      </c>
    </row>
    <row r="574" spans="1:9" ht="13.5" thickBot="1">
      <c r="A574" s="436"/>
      <c r="B574" s="436"/>
      <c r="C574" s="436"/>
      <c r="D574" s="436"/>
      <c r="E574" s="436"/>
      <c r="F574" s="436"/>
      <c r="G574" s="436"/>
      <c r="H574" s="436"/>
    </row>
    <row r="575" spans="1:9" ht="13.5" thickBot="1">
      <c r="C575" s="436"/>
      <c r="D575" s="484" t="s">
        <v>109</v>
      </c>
      <c r="E575" s="485"/>
      <c r="F575" s="485"/>
      <c r="G575" s="485"/>
      <c r="H575" s="466">
        <f>ROUND((H567+H573),0)</f>
        <v>166607</v>
      </c>
    </row>
  </sheetData>
  <mergeCells count="116">
    <mergeCell ref="A339:C341"/>
    <mergeCell ref="A348:C348"/>
    <mergeCell ref="A349:C349"/>
    <mergeCell ref="A350:C350"/>
    <mergeCell ref="A351:C351"/>
    <mergeCell ref="A354:C354"/>
    <mergeCell ref="A363:C363"/>
    <mergeCell ref="A365:C365"/>
    <mergeCell ref="A75:C75"/>
    <mergeCell ref="A303:C303"/>
    <mergeCell ref="A315:C315"/>
    <mergeCell ref="A317:C317"/>
    <mergeCell ref="A218:C218"/>
    <mergeCell ref="A220:C220"/>
    <mergeCell ref="A258:C258"/>
    <mergeCell ref="A306:C306"/>
    <mergeCell ref="A269:C269"/>
    <mergeCell ref="A291:C293"/>
    <mergeCell ref="A300:C300"/>
    <mergeCell ref="A301:C301"/>
    <mergeCell ref="A252:C252"/>
    <mergeCell ref="A253:C253"/>
    <mergeCell ref="A254:C254"/>
    <mergeCell ref="A255:C255"/>
    <mergeCell ref="A267:C267"/>
    <mergeCell ref="A111:C111"/>
    <mergeCell ref="A123:C123"/>
    <mergeCell ref="A206:C206"/>
    <mergeCell ref="A207:C207"/>
    <mergeCell ref="A219:C219"/>
    <mergeCell ref="A243:C245"/>
    <mergeCell ref="A210:C210"/>
    <mergeCell ref="A302:C302"/>
    <mergeCell ref="A125:C125"/>
    <mergeCell ref="A147:C149"/>
    <mergeCell ref="A396:C396"/>
    <mergeCell ref="A397:C397"/>
    <mergeCell ref="A398:C398"/>
    <mergeCell ref="A3:C5"/>
    <mergeCell ref="D5:H5"/>
    <mergeCell ref="A12:C12"/>
    <mergeCell ref="A13:C13"/>
    <mergeCell ref="A14:C14"/>
    <mergeCell ref="A66:C66"/>
    <mergeCell ref="A27:C27"/>
    <mergeCell ref="A29:C29"/>
    <mergeCell ref="A51:C53"/>
    <mergeCell ref="A60:C60"/>
    <mergeCell ref="A61:C61"/>
    <mergeCell ref="A62:C62"/>
    <mergeCell ref="A63:C63"/>
    <mergeCell ref="D53:H53"/>
    <mergeCell ref="A15:C15"/>
    <mergeCell ref="D149:H149"/>
    <mergeCell ref="A114:C114"/>
    <mergeCell ref="A18:C18"/>
    <mergeCell ref="A205:C205"/>
    <mergeCell ref="A156:C156"/>
    <mergeCell ref="A157:C157"/>
    <mergeCell ref="A444:C444"/>
    <mergeCell ref="A445:C445"/>
    <mergeCell ref="A446:C446"/>
    <mergeCell ref="A447:C447"/>
    <mergeCell ref="A399:C399"/>
    <mergeCell ref="A402:C402"/>
    <mergeCell ref="A411:C411"/>
    <mergeCell ref="A413:C413"/>
    <mergeCell ref="A435:C437"/>
    <mergeCell ref="A412:C412"/>
    <mergeCell ref="B440:F440"/>
    <mergeCell ref="A492:C492"/>
    <mergeCell ref="A493:C493"/>
    <mergeCell ref="A494:C494"/>
    <mergeCell ref="A495:C495"/>
    <mergeCell ref="A498:C498"/>
    <mergeCell ref="A450:C450"/>
    <mergeCell ref="A459:C459"/>
    <mergeCell ref="A461:C461"/>
    <mergeCell ref="A483:C485"/>
    <mergeCell ref="A460:C460"/>
    <mergeCell ref="B488:F488"/>
    <mergeCell ref="A557:C557"/>
    <mergeCell ref="A541:C541"/>
    <mergeCell ref="A542:C542"/>
    <mergeCell ref="A543:C543"/>
    <mergeCell ref="A546:C546"/>
    <mergeCell ref="A555:C555"/>
    <mergeCell ref="A507:C507"/>
    <mergeCell ref="A509:C509"/>
    <mergeCell ref="A531:C533"/>
    <mergeCell ref="A540:C540"/>
    <mergeCell ref="B536:F536"/>
    <mergeCell ref="B8:F8"/>
    <mergeCell ref="B56:F56"/>
    <mergeCell ref="B104:F104"/>
    <mergeCell ref="B152:F152"/>
    <mergeCell ref="B200:F200"/>
    <mergeCell ref="B248:F248"/>
    <mergeCell ref="B296:F296"/>
    <mergeCell ref="B344:F344"/>
    <mergeCell ref="B392:F392"/>
    <mergeCell ref="A387:C389"/>
    <mergeCell ref="A158:C158"/>
    <mergeCell ref="A159:C159"/>
    <mergeCell ref="A171:C171"/>
    <mergeCell ref="A162:C162"/>
    <mergeCell ref="A173:C173"/>
    <mergeCell ref="A195:C197"/>
    <mergeCell ref="D197:H197"/>
    <mergeCell ref="A204:C204"/>
    <mergeCell ref="A77:C77"/>
    <mergeCell ref="A99:C101"/>
    <mergeCell ref="D101:H101"/>
    <mergeCell ref="A108:C108"/>
    <mergeCell ref="A109:C109"/>
    <mergeCell ref="A110:C110"/>
  </mergeCells>
  <hyperlinks>
    <hyperlink ref="A1" r:id="rId1" location="PRESUPUESTO!A1" xr:uid="{00000000-0004-0000-0200-000000000000}"/>
    <hyperlink ref="A49" r:id="rId2" location="PRESUPUESTO!A1" xr:uid="{00000000-0004-0000-0200-000001000000}"/>
    <hyperlink ref="A97" r:id="rId3" location="PRESUPUESTO!A94" xr:uid="{00000000-0004-0000-0200-000002000000}"/>
    <hyperlink ref="A145" r:id="rId4" location="PRESUPUESTO!A95" xr:uid="{00000000-0004-0000-0200-000003000000}"/>
    <hyperlink ref="A193" r:id="rId5" location="PRESUPUESTO!A97" xr:uid="{00000000-0004-0000-0200-000004000000}"/>
    <hyperlink ref="A241" r:id="rId6" location="PRESUPUESTO!A98" xr:uid="{00000000-0004-0000-0200-000005000000}"/>
    <hyperlink ref="A289" r:id="rId7" location="PRESUPUESTO!A99" xr:uid="{00000000-0004-0000-0200-000006000000}"/>
    <hyperlink ref="A385" r:id="rId8" location="PRESUPUESTO!A99" xr:uid="{00000000-0004-0000-0200-000007000000}"/>
    <hyperlink ref="A433" r:id="rId9" location="PRESUPUESTO!A99" xr:uid="{00000000-0004-0000-0200-000008000000}"/>
    <hyperlink ref="A481" r:id="rId10" location="PRESUPUESTO!A99" xr:uid="{00000000-0004-0000-0200-000009000000}"/>
    <hyperlink ref="A529" r:id="rId11" location="PRESUPUESTO!A99" xr:uid="{00000000-0004-0000-0200-00000A000000}"/>
    <hyperlink ref="A337" r:id="rId12" location="PRESUPUESTO!A99" xr:uid="{A23D927E-9790-4E54-9501-03DF5EDC1AEC}"/>
  </hyperlinks>
  <printOptions horizontalCentered="1" verticalCentered="1"/>
  <pageMargins left="1.1811023622047245" right="0.39370078740157483" top="0.19685039370078741" bottom="1.1811023622047245" header="0" footer="0"/>
  <pageSetup scale="95" orientation="portrait" r:id="rId13"/>
  <headerFooter alignWithMargins="0"/>
  <rowBreaks count="11" manualBreakCount="11">
    <brk id="48" max="16383" man="1"/>
    <brk id="96" max="7" man="1"/>
    <brk id="144" max="7" man="1"/>
    <brk id="192" max="7" man="1"/>
    <brk id="240" max="7" man="1"/>
    <brk id="288" max="7" man="1"/>
    <brk id="336" max="7" man="1"/>
    <brk id="384" max="7" man="1"/>
    <brk id="432" max="7" man="1"/>
    <brk id="480" max="7" man="1"/>
    <brk id="528" max="7" man="1"/>
  </rowBreaks>
  <drawing r:id="rId1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92"/>
  <sheetViews>
    <sheetView view="pageBreakPreview" topLeftCell="A145" zoomScale="145" zoomScaleNormal="100" zoomScaleSheetLayoutView="145" workbookViewId="0">
      <selection activeCell="I175" sqref="I175"/>
    </sheetView>
  </sheetViews>
  <sheetFormatPr baseColWidth="10" defaultRowHeight="12.75"/>
  <cols>
    <col min="1" max="1" width="11.42578125" style="446"/>
    <col min="2" max="2" width="10.42578125" style="446" customWidth="1"/>
    <col min="3" max="3" width="13" style="446" customWidth="1"/>
    <col min="4" max="12" width="11.42578125" style="446"/>
    <col min="13" max="13" width="15.42578125" style="446" bestFit="1" customWidth="1"/>
    <col min="14" max="14" width="13.85546875" style="446" bestFit="1" customWidth="1"/>
    <col min="15" max="15" width="11.42578125" style="446"/>
    <col min="16" max="16" width="15.28515625" style="446" customWidth="1"/>
    <col min="17" max="259" width="11.42578125" style="446"/>
    <col min="260" max="260" width="10.42578125" style="446" customWidth="1"/>
    <col min="261" max="261" width="13" style="446" customWidth="1"/>
    <col min="262" max="515" width="11.42578125" style="446"/>
    <col min="516" max="516" width="10.42578125" style="446" customWidth="1"/>
    <col min="517" max="517" width="13" style="446" customWidth="1"/>
    <col min="518" max="771" width="11.42578125" style="446"/>
    <col min="772" max="772" width="10.42578125" style="446" customWidth="1"/>
    <col min="773" max="773" width="13" style="446" customWidth="1"/>
    <col min="774" max="1027" width="11.42578125" style="446"/>
    <col min="1028" max="1028" width="10.42578125" style="446" customWidth="1"/>
    <col min="1029" max="1029" width="13" style="446" customWidth="1"/>
    <col min="1030" max="1283" width="11.42578125" style="446"/>
    <col min="1284" max="1284" width="10.42578125" style="446" customWidth="1"/>
    <col min="1285" max="1285" width="13" style="446" customWidth="1"/>
    <col min="1286" max="1539" width="11.42578125" style="446"/>
    <col min="1540" max="1540" width="10.42578125" style="446" customWidth="1"/>
    <col min="1541" max="1541" width="13" style="446" customWidth="1"/>
    <col min="1542" max="1795" width="11.42578125" style="446"/>
    <col min="1796" max="1796" width="10.42578125" style="446" customWidth="1"/>
    <col min="1797" max="1797" width="13" style="446" customWidth="1"/>
    <col min="1798" max="2051" width="11.42578125" style="446"/>
    <col min="2052" max="2052" width="10.42578125" style="446" customWidth="1"/>
    <col min="2053" max="2053" width="13" style="446" customWidth="1"/>
    <col min="2054" max="2307" width="11.42578125" style="446"/>
    <col min="2308" max="2308" width="10.42578125" style="446" customWidth="1"/>
    <col min="2309" max="2309" width="13" style="446" customWidth="1"/>
    <col min="2310" max="2563" width="11.42578125" style="446"/>
    <col min="2564" max="2564" width="10.42578125" style="446" customWidth="1"/>
    <col min="2565" max="2565" width="13" style="446" customWidth="1"/>
    <col min="2566" max="2819" width="11.42578125" style="446"/>
    <col min="2820" max="2820" width="10.42578125" style="446" customWidth="1"/>
    <col min="2821" max="2821" width="13" style="446" customWidth="1"/>
    <col min="2822" max="3075" width="11.42578125" style="446"/>
    <col min="3076" max="3076" width="10.42578125" style="446" customWidth="1"/>
    <col min="3077" max="3077" width="13" style="446" customWidth="1"/>
    <col min="3078" max="3331" width="11.42578125" style="446"/>
    <col min="3332" max="3332" width="10.42578125" style="446" customWidth="1"/>
    <col min="3333" max="3333" width="13" style="446" customWidth="1"/>
    <col min="3334" max="3587" width="11.42578125" style="446"/>
    <col min="3588" max="3588" width="10.42578125" style="446" customWidth="1"/>
    <col min="3589" max="3589" width="13" style="446" customWidth="1"/>
    <col min="3590" max="3843" width="11.42578125" style="446"/>
    <col min="3844" max="3844" width="10.42578125" style="446" customWidth="1"/>
    <col min="3845" max="3845" width="13" style="446" customWidth="1"/>
    <col min="3846" max="4099" width="11.42578125" style="446"/>
    <col min="4100" max="4100" width="10.42578125" style="446" customWidth="1"/>
    <col min="4101" max="4101" width="13" style="446" customWidth="1"/>
    <col min="4102" max="4355" width="11.42578125" style="446"/>
    <col min="4356" max="4356" width="10.42578125" style="446" customWidth="1"/>
    <col min="4357" max="4357" width="13" style="446" customWidth="1"/>
    <col min="4358" max="4611" width="11.42578125" style="446"/>
    <col min="4612" max="4612" width="10.42578125" style="446" customWidth="1"/>
    <col min="4613" max="4613" width="13" style="446" customWidth="1"/>
    <col min="4614" max="4867" width="11.42578125" style="446"/>
    <col min="4868" max="4868" width="10.42578125" style="446" customWidth="1"/>
    <col min="4869" max="4869" width="13" style="446" customWidth="1"/>
    <col min="4870" max="5123" width="11.42578125" style="446"/>
    <col min="5124" max="5124" width="10.42578125" style="446" customWidth="1"/>
    <col min="5125" max="5125" width="13" style="446" customWidth="1"/>
    <col min="5126" max="5379" width="11.42578125" style="446"/>
    <col min="5380" max="5380" width="10.42578125" style="446" customWidth="1"/>
    <col min="5381" max="5381" width="13" style="446" customWidth="1"/>
    <col min="5382" max="5635" width="11.42578125" style="446"/>
    <col min="5636" max="5636" width="10.42578125" style="446" customWidth="1"/>
    <col min="5637" max="5637" width="13" style="446" customWidth="1"/>
    <col min="5638" max="5891" width="11.42578125" style="446"/>
    <col min="5892" max="5892" width="10.42578125" style="446" customWidth="1"/>
    <col min="5893" max="5893" width="13" style="446" customWidth="1"/>
    <col min="5894" max="6147" width="11.42578125" style="446"/>
    <col min="6148" max="6148" width="10.42578125" style="446" customWidth="1"/>
    <col min="6149" max="6149" width="13" style="446" customWidth="1"/>
    <col min="6150" max="6403" width="11.42578125" style="446"/>
    <col min="6404" max="6404" width="10.42578125" style="446" customWidth="1"/>
    <col min="6405" max="6405" width="13" style="446" customWidth="1"/>
    <col min="6406" max="6659" width="11.42578125" style="446"/>
    <col min="6660" max="6660" width="10.42578125" style="446" customWidth="1"/>
    <col min="6661" max="6661" width="13" style="446" customWidth="1"/>
    <col min="6662" max="6915" width="11.42578125" style="446"/>
    <col min="6916" max="6916" width="10.42578125" style="446" customWidth="1"/>
    <col min="6917" max="6917" width="13" style="446" customWidth="1"/>
    <col min="6918" max="7171" width="11.42578125" style="446"/>
    <col min="7172" max="7172" width="10.42578125" style="446" customWidth="1"/>
    <col min="7173" max="7173" width="13" style="446" customWidth="1"/>
    <col min="7174" max="7427" width="11.42578125" style="446"/>
    <col min="7428" max="7428" width="10.42578125" style="446" customWidth="1"/>
    <col min="7429" max="7429" width="13" style="446" customWidth="1"/>
    <col min="7430" max="7683" width="11.42578125" style="446"/>
    <col min="7684" max="7684" width="10.42578125" style="446" customWidth="1"/>
    <col min="7685" max="7685" width="13" style="446" customWidth="1"/>
    <col min="7686" max="7939" width="11.42578125" style="446"/>
    <col min="7940" max="7940" width="10.42578125" style="446" customWidth="1"/>
    <col min="7941" max="7941" width="13" style="446" customWidth="1"/>
    <col min="7942" max="8195" width="11.42578125" style="446"/>
    <col min="8196" max="8196" width="10.42578125" style="446" customWidth="1"/>
    <col min="8197" max="8197" width="13" style="446" customWidth="1"/>
    <col min="8198" max="8451" width="11.42578125" style="446"/>
    <col min="8452" max="8452" width="10.42578125" style="446" customWidth="1"/>
    <col min="8453" max="8453" width="13" style="446" customWidth="1"/>
    <col min="8454" max="8707" width="11.42578125" style="446"/>
    <col min="8708" max="8708" width="10.42578125" style="446" customWidth="1"/>
    <col min="8709" max="8709" width="13" style="446" customWidth="1"/>
    <col min="8710" max="8963" width="11.42578125" style="446"/>
    <col min="8964" max="8964" width="10.42578125" style="446" customWidth="1"/>
    <col min="8965" max="8965" width="13" style="446" customWidth="1"/>
    <col min="8966" max="9219" width="11.42578125" style="446"/>
    <col min="9220" max="9220" width="10.42578125" style="446" customWidth="1"/>
    <col min="9221" max="9221" width="13" style="446" customWidth="1"/>
    <col min="9222" max="9475" width="11.42578125" style="446"/>
    <col min="9476" max="9476" width="10.42578125" style="446" customWidth="1"/>
    <col min="9477" max="9477" width="13" style="446" customWidth="1"/>
    <col min="9478" max="9731" width="11.42578125" style="446"/>
    <col min="9732" max="9732" width="10.42578125" style="446" customWidth="1"/>
    <col min="9733" max="9733" width="13" style="446" customWidth="1"/>
    <col min="9734" max="9987" width="11.42578125" style="446"/>
    <col min="9988" max="9988" width="10.42578125" style="446" customWidth="1"/>
    <col min="9989" max="9989" width="13" style="446" customWidth="1"/>
    <col min="9990" max="10243" width="11.42578125" style="446"/>
    <col min="10244" max="10244" width="10.42578125" style="446" customWidth="1"/>
    <col min="10245" max="10245" width="13" style="446" customWidth="1"/>
    <col min="10246" max="10499" width="11.42578125" style="446"/>
    <col min="10500" max="10500" width="10.42578125" style="446" customWidth="1"/>
    <col min="10501" max="10501" width="13" style="446" customWidth="1"/>
    <col min="10502" max="10755" width="11.42578125" style="446"/>
    <col min="10756" max="10756" width="10.42578125" style="446" customWidth="1"/>
    <col min="10757" max="10757" width="13" style="446" customWidth="1"/>
    <col min="10758" max="11011" width="11.42578125" style="446"/>
    <col min="11012" max="11012" width="10.42578125" style="446" customWidth="1"/>
    <col min="11013" max="11013" width="13" style="446" customWidth="1"/>
    <col min="11014" max="11267" width="11.42578125" style="446"/>
    <col min="11268" max="11268" width="10.42578125" style="446" customWidth="1"/>
    <col min="11269" max="11269" width="13" style="446" customWidth="1"/>
    <col min="11270" max="11523" width="11.42578125" style="446"/>
    <col min="11524" max="11524" width="10.42578125" style="446" customWidth="1"/>
    <col min="11525" max="11525" width="13" style="446" customWidth="1"/>
    <col min="11526" max="11779" width="11.42578125" style="446"/>
    <col min="11780" max="11780" width="10.42578125" style="446" customWidth="1"/>
    <col min="11781" max="11781" width="13" style="446" customWidth="1"/>
    <col min="11782" max="12035" width="11.42578125" style="446"/>
    <col min="12036" max="12036" width="10.42578125" style="446" customWidth="1"/>
    <col min="12037" max="12037" width="13" style="446" customWidth="1"/>
    <col min="12038" max="12291" width="11.42578125" style="446"/>
    <col min="12292" max="12292" width="10.42578125" style="446" customWidth="1"/>
    <col min="12293" max="12293" width="13" style="446" customWidth="1"/>
    <col min="12294" max="12547" width="11.42578125" style="446"/>
    <col min="12548" max="12548" width="10.42578125" style="446" customWidth="1"/>
    <col min="12549" max="12549" width="13" style="446" customWidth="1"/>
    <col min="12550" max="12803" width="11.42578125" style="446"/>
    <col min="12804" max="12804" width="10.42578125" style="446" customWidth="1"/>
    <col min="12805" max="12805" width="13" style="446" customWidth="1"/>
    <col min="12806" max="13059" width="11.42578125" style="446"/>
    <col min="13060" max="13060" width="10.42578125" style="446" customWidth="1"/>
    <col min="13061" max="13061" width="13" style="446" customWidth="1"/>
    <col min="13062" max="13315" width="11.42578125" style="446"/>
    <col min="13316" max="13316" width="10.42578125" style="446" customWidth="1"/>
    <col min="13317" max="13317" width="13" style="446" customWidth="1"/>
    <col min="13318" max="13571" width="11.42578125" style="446"/>
    <col min="13572" max="13572" width="10.42578125" style="446" customWidth="1"/>
    <col min="13573" max="13573" width="13" style="446" customWidth="1"/>
    <col min="13574" max="13827" width="11.42578125" style="446"/>
    <col min="13828" max="13828" width="10.42578125" style="446" customWidth="1"/>
    <col min="13829" max="13829" width="13" style="446" customWidth="1"/>
    <col min="13830" max="14083" width="11.42578125" style="446"/>
    <col min="14084" max="14084" width="10.42578125" style="446" customWidth="1"/>
    <col min="14085" max="14085" width="13" style="446" customWidth="1"/>
    <col min="14086" max="14339" width="11.42578125" style="446"/>
    <col min="14340" max="14340" width="10.42578125" style="446" customWidth="1"/>
    <col min="14341" max="14341" width="13" style="446" customWidth="1"/>
    <col min="14342" max="14595" width="11.42578125" style="446"/>
    <col min="14596" max="14596" width="10.42578125" style="446" customWidth="1"/>
    <col min="14597" max="14597" width="13" style="446" customWidth="1"/>
    <col min="14598" max="14851" width="11.42578125" style="446"/>
    <col min="14852" max="14852" width="10.42578125" style="446" customWidth="1"/>
    <col min="14853" max="14853" width="13" style="446" customWidth="1"/>
    <col min="14854" max="15107" width="11.42578125" style="446"/>
    <col min="15108" max="15108" width="10.42578125" style="446" customWidth="1"/>
    <col min="15109" max="15109" width="13" style="446" customWidth="1"/>
    <col min="15110" max="15363" width="11.42578125" style="446"/>
    <col min="15364" max="15364" width="10.42578125" style="446" customWidth="1"/>
    <col min="15365" max="15365" width="13" style="446" customWidth="1"/>
    <col min="15366" max="15619" width="11.42578125" style="446"/>
    <col min="15620" max="15620" width="10.42578125" style="446" customWidth="1"/>
    <col min="15621" max="15621" width="13" style="446" customWidth="1"/>
    <col min="15622" max="15875" width="11.42578125" style="446"/>
    <col min="15876" max="15876" width="10.42578125" style="446" customWidth="1"/>
    <col min="15877" max="15877" width="13" style="446" customWidth="1"/>
    <col min="15878" max="16131" width="11.42578125" style="446"/>
    <col min="16132" max="16132" width="10.42578125" style="446" customWidth="1"/>
    <col min="16133" max="16133" width="13" style="446" customWidth="1"/>
    <col min="16134" max="16384" width="11.42578125" style="446"/>
  </cols>
  <sheetData>
    <row r="1" spans="1:11" ht="15">
      <c r="A1" s="186" t="s">
        <v>77</v>
      </c>
    </row>
    <row r="2" spans="1:11" ht="13.5" thickBot="1"/>
    <row r="3" spans="1:11" ht="15" customHeight="1">
      <c r="A3" s="1348" t="s">
        <v>213</v>
      </c>
      <c r="B3" s="1349"/>
      <c r="C3" s="1350"/>
      <c r="D3" s="448"/>
      <c r="E3" s="448"/>
      <c r="F3" s="448"/>
      <c r="G3" s="448"/>
      <c r="H3" s="449"/>
    </row>
    <row r="4" spans="1:11" ht="15" customHeight="1">
      <c r="A4" s="1351"/>
      <c r="B4" s="1352"/>
      <c r="C4" s="1353"/>
      <c r="D4" s="436"/>
      <c r="E4" s="450" t="s">
        <v>78</v>
      </c>
      <c r="F4" s="436"/>
      <c r="G4" s="436"/>
      <c r="H4" s="451"/>
      <c r="I4" s="436"/>
      <c r="J4" s="436"/>
    </row>
    <row r="5" spans="1:11" ht="15.75" customHeight="1" thickBot="1">
      <c r="A5" s="1354"/>
      <c r="B5" s="1355"/>
      <c r="C5" s="1356"/>
      <c r="D5" s="1360"/>
      <c r="E5" s="1361"/>
      <c r="F5" s="1361"/>
      <c r="G5" s="1361"/>
      <c r="H5" s="1362"/>
      <c r="I5" s="483"/>
      <c r="J5" s="483"/>
    </row>
    <row r="6" spans="1:11">
      <c r="A6" s="455"/>
      <c r="B6" s="436"/>
      <c r="C6" s="436"/>
      <c r="D6" s="436"/>
      <c r="E6" s="436"/>
      <c r="F6" s="436"/>
      <c r="G6" s="436"/>
      <c r="H6" s="436"/>
      <c r="I6" s="436"/>
      <c r="J6" s="436"/>
    </row>
    <row r="7" spans="1:11">
      <c r="A7" s="455" t="s">
        <v>1228</v>
      </c>
      <c r="B7" s="456" t="str">
        <f>+PRESUPUESTO!$B$173</f>
        <v>PINTURA Y REVOQUE</v>
      </c>
      <c r="C7" s="436"/>
      <c r="E7" s="456"/>
      <c r="G7" s="456" t="s">
        <v>1123</v>
      </c>
      <c r="H7" s="436" t="str">
        <f>+PRESUPUESTO!$A$175</f>
        <v>10.1.1</v>
      </c>
    </row>
    <row r="8" spans="1:11" s="931" customFormat="1" ht="57" customHeight="1">
      <c r="A8" s="928" t="s">
        <v>1122</v>
      </c>
      <c r="B8" s="1375" t="str">
        <f>VLOOKUP(H7,PRESUPUESTO!$A$18:$F$251,2,FALSE)</f>
        <v>Suministro e instalación de revoque en mortero 1:5 rustico sobre adobe de 10 de 6 huecos, incluye filetes y ranuradas requeridas.</v>
      </c>
      <c r="C8" s="1375"/>
      <c r="D8" s="1375"/>
      <c r="E8" s="1375"/>
      <c r="F8" s="1375"/>
      <c r="G8" s="929" t="s">
        <v>9</v>
      </c>
      <c r="H8" s="1024" t="str">
        <f>VLOOKUP(H7,PRESUPUESTO!$A$18:$F$251,3,FALSE)</f>
        <v>m2</v>
      </c>
    </row>
    <row r="9" spans="1:11">
      <c r="A9" s="456"/>
      <c r="B9" s="456"/>
      <c r="C9" s="436"/>
      <c r="D9" s="456"/>
      <c r="E9" s="456"/>
      <c r="F9" s="456"/>
      <c r="G9" s="456"/>
      <c r="H9" s="436"/>
      <c r="I9" s="436"/>
      <c r="J9" s="436"/>
    </row>
    <row r="10" spans="1:11" ht="13.5" thickBot="1">
      <c r="A10" s="450" t="s">
        <v>79</v>
      </c>
      <c r="B10" s="450"/>
      <c r="C10" s="436"/>
      <c r="D10" s="436"/>
      <c r="E10" s="436"/>
      <c r="F10" s="436"/>
      <c r="G10" s="436"/>
      <c r="H10" s="436"/>
      <c r="I10" s="436"/>
      <c r="J10" s="436"/>
    </row>
    <row r="11" spans="1:11">
      <c r="A11" s="1345" t="s">
        <v>80</v>
      </c>
      <c r="B11" s="1346"/>
      <c r="C11" s="1347"/>
      <c r="D11" s="438" t="s">
        <v>81</v>
      </c>
      <c r="E11" s="438" t="s">
        <v>82</v>
      </c>
      <c r="F11" s="438" t="s">
        <v>83</v>
      </c>
      <c r="G11" s="439" t="s">
        <v>84</v>
      </c>
      <c r="H11" s="457"/>
      <c r="I11" s="436"/>
      <c r="J11" s="436"/>
      <c r="K11" s="548"/>
    </row>
    <row r="12" spans="1:11">
      <c r="A12" s="1357" t="s">
        <v>85</v>
      </c>
      <c r="B12" s="1358"/>
      <c r="C12" s="1359"/>
      <c r="D12" s="459"/>
      <c r="E12" s="440"/>
      <c r="F12" s="440"/>
      <c r="G12" s="432">
        <f>ROUND(H37*0.05,0)</f>
        <v>1185</v>
      </c>
      <c r="H12" s="460"/>
      <c r="I12" s="436"/>
      <c r="J12" s="436"/>
    </row>
    <row r="13" spans="1:11">
      <c r="A13" s="1357" t="s">
        <v>215</v>
      </c>
      <c r="B13" s="1358"/>
      <c r="C13" s="1359"/>
      <c r="D13" s="461" t="s">
        <v>237</v>
      </c>
      <c r="E13" s="462">
        <f>MATERIALES!$C$4</f>
        <v>14500</v>
      </c>
      <c r="F13" s="440">
        <v>0.3</v>
      </c>
      <c r="G13" s="432">
        <f>E13*F13</f>
        <v>4350</v>
      </c>
      <c r="H13" s="460"/>
      <c r="I13" s="436"/>
      <c r="J13" s="436"/>
    </row>
    <row r="14" spans="1:11" ht="13.5" thickBot="1">
      <c r="A14" s="1342"/>
      <c r="B14" s="1343"/>
      <c r="C14" s="1344"/>
      <c r="D14" s="464"/>
      <c r="E14" s="433"/>
      <c r="F14" s="434"/>
      <c r="G14" s="435"/>
      <c r="H14" s="465"/>
      <c r="I14" s="436"/>
      <c r="J14" s="436"/>
    </row>
    <row r="15" spans="1:11" ht="13.5" thickBot="1">
      <c r="A15" s="436"/>
      <c r="B15" s="436"/>
      <c r="C15" s="436"/>
      <c r="D15" s="436"/>
      <c r="E15" s="436"/>
      <c r="F15" s="436"/>
      <c r="G15" s="437" t="s">
        <v>86</v>
      </c>
      <c r="H15" s="466">
        <f>SUM(G12:G14)</f>
        <v>5535</v>
      </c>
      <c r="I15" s="541"/>
      <c r="J15" s="541"/>
    </row>
    <row r="16" spans="1:11" ht="13.5" thickBot="1">
      <c r="A16" s="450" t="s">
        <v>87</v>
      </c>
      <c r="B16" s="450"/>
      <c r="C16" s="436"/>
      <c r="D16" s="436"/>
      <c r="E16" s="436"/>
      <c r="F16" s="436"/>
      <c r="G16" s="436"/>
      <c r="H16" s="436"/>
      <c r="I16" s="436"/>
      <c r="J16" s="436"/>
    </row>
    <row r="17" spans="1:10">
      <c r="A17" s="1345" t="s">
        <v>80</v>
      </c>
      <c r="B17" s="1346"/>
      <c r="C17" s="1347"/>
      <c r="D17" s="438" t="s">
        <v>88</v>
      </c>
      <c r="E17" s="438" t="s">
        <v>89</v>
      </c>
      <c r="F17" s="438" t="s">
        <v>90</v>
      </c>
      <c r="G17" s="439" t="s">
        <v>84</v>
      </c>
      <c r="H17" s="457"/>
      <c r="I17" s="436"/>
      <c r="J17" s="436"/>
    </row>
    <row r="18" spans="1:10">
      <c r="A18" s="458" t="s">
        <v>248</v>
      </c>
      <c r="B18" s="467"/>
      <c r="C18" s="468"/>
      <c r="D18" s="459" t="s">
        <v>234</v>
      </c>
      <c r="E18" s="674">
        <f>APA!H130</f>
        <v>490613.39333333331</v>
      </c>
      <c r="F18" s="440">
        <v>0.03</v>
      </c>
      <c r="G18" s="432">
        <f>ROUND(F18*E18,0)</f>
        <v>14718</v>
      </c>
      <c r="H18" s="460"/>
      <c r="I18" s="436"/>
    </row>
    <row r="19" spans="1:10">
      <c r="A19" s="469" t="s">
        <v>687</v>
      </c>
      <c r="B19" s="467"/>
      <c r="C19" s="468"/>
      <c r="D19" s="459" t="s">
        <v>268</v>
      </c>
      <c r="E19" s="430">
        <f>43900</f>
        <v>43900</v>
      </c>
      <c r="F19" s="431">
        <f>(1/2)*1.5*7*F18</f>
        <v>0.1575</v>
      </c>
      <c r="G19" s="432">
        <f>ROUND(F19*E19,0)</f>
        <v>6914</v>
      </c>
      <c r="H19" s="460"/>
      <c r="I19" s="436"/>
      <c r="J19" s="436"/>
    </row>
    <row r="20" spans="1:10">
      <c r="A20" s="469" t="s">
        <v>93</v>
      </c>
      <c r="B20" s="467"/>
      <c r="C20" s="471">
        <v>0.05</v>
      </c>
      <c r="D20" s="459"/>
      <c r="E20" s="430"/>
      <c r="F20" s="431"/>
      <c r="G20" s="432">
        <f>SUM(G17:G19)*C20</f>
        <v>1081.6000000000001</v>
      </c>
      <c r="H20" s="460"/>
      <c r="I20" s="436"/>
      <c r="J20" s="436"/>
    </row>
    <row r="21" spans="1:10">
      <c r="A21" s="469"/>
      <c r="B21" s="467"/>
      <c r="C21" s="468"/>
      <c r="D21" s="459"/>
      <c r="E21" s="430"/>
      <c r="F21" s="431"/>
      <c r="G21" s="432"/>
      <c r="H21" s="460"/>
      <c r="I21" s="436"/>
      <c r="J21" s="436"/>
    </row>
    <row r="22" spans="1:10">
      <c r="A22" s="469"/>
      <c r="B22" s="467"/>
      <c r="C22" s="468"/>
      <c r="D22" s="459"/>
      <c r="E22" s="430"/>
      <c r="F22" s="431"/>
      <c r="G22" s="432"/>
      <c r="H22" s="460"/>
      <c r="I22" s="436"/>
      <c r="J22" s="436"/>
    </row>
    <row r="23" spans="1:10" ht="13.5" thickBot="1">
      <c r="A23" s="472"/>
      <c r="B23" s="473"/>
      <c r="C23" s="474"/>
      <c r="D23" s="464"/>
      <c r="E23" s="433"/>
      <c r="F23" s="434"/>
      <c r="G23" s="435"/>
      <c r="H23" s="465"/>
      <c r="I23" s="436"/>
      <c r="J23" s="436"/>
    </row>
    <row r="24" spans="1:10" ht="13.5" thickBot="1">
      <c r="A24" s="436"/>
      <c r="B24" s="436"/>
      <c r="C24" s="436"/>
      <c r="D24" s="436"/>
      <c r="E24" s="436"/>
      <c r="F24" s="436"/>
      <c r="G24" s="437" t="s">
        <v>86</v>
      </c>
      <c r="H24" s="466">
        <f>SUM(G18:G23)</f>
        <v>22713.599999999999</v>
      </c>
      <c r="I24" s="541"/>
      <c r="J24" s="541"/>
    </row>
    <row r="25" spans="1:10" ht="13.5" thickBot="1">
      <c r="A25" s="450" t="s">
        <v>94</v>
      </c>
      <c r="B25" s="450"/>
      <c r="C25" s="436"/>
      <c r="D25" s="436"/>
      <c r="E25" s="436"/>
      <c r="F25" s="436"/>
      <c r="G25" s="436"/>
      <c r="H25" s="436"/>
      <c r="I25" s="436"/>
      <c r="J25" s="436"/>
    </row>
    <row r="26" spans="1:10">
      <c r="A26" s="1345" t="s">
        <v>95</v>
      </c>
      <c r="B26" s="1346"/>
      <c r="C26" s="1347"/>
      <c r="D26" s="438" t="s">
        <v>88</v>
      </c>
      <c r="E26" s="438" t="s">
        <v>89</v>
      </c>
      <c r="F26" s="438" t="s">
        <v>90</v>
      </c>
      <c r="G26" s="439" t="s">
        <v>84</v>
      </c>
      <c r="H26" s="457"/>
      <c r="I26" s="436"/>
      <c r="J26" s="436"/>
    </row>
    <row r="27" spans="1:10">
      <c r="A27" s="458"/>
      <c r="B27" s="467"/>
      <c r="C27" s="468"/>
      <c r="D27" s="459"/>
      <c r="E27" s="430"/>
      <c r="F27" s="440"/>
      <c r="G27" s="440"/>
      <c r="H27" s="460"/>
      <c r="I27" s="436"/>
      <c r="J27" s="436"/>
    </row>
    <row r="28" spans="1:10" ht="13.5" thickBot="1">
      <c r="A28" s="1342" t="s">
        <v>235</v>
      </c>
      <c r="B28" s="1343"/>
      <c r="C28" s="1344"/>
      <c r="D28" s="475" t="s">
        <v>237</v>
      </c>
      <c r="E28" s="433">
        <v>5400</v>
      </c>
      <c r="F28" s="434">
        <v>1</v>
      </c>
      <c r="G28" s="441">
        <f>+F28*E28</f>
        <v>5400</v>
      </c>
      <c r="H28" s="460"/>
      <c r="I28" s="436"/>
      <c r="J28" s="436"/>
    </row>
    <row r="29" spans="1:10" ht="13.5" thickBot="1">
      <c r="A29" s="436"/>
      <c r="B29" s="436"/>
      <c r="C29" s="436"/>
      <c r="D29" s="436"/>
      <c r="E29" s="436"/>
      <c r="F29" s="436"/>
      <c r="G29" s="437" t="s">
        <v>86</v>
      </c>
      <c r="H29" s="466">
        <f>SUM(G27:G28)</f>
        <v>5400</v>
      </c>
      <c r="I29" s="541"/>
      <c r="J29" s="541"/>
    </row>
    <row r="30" spans="1:10" ht="13.5" thickBot="1">
      <c r="A30" s="450" t="s">
        <v>96</v>
      </c>
      <c r="B30" s="450"/>
      <c r="C30" s="436"/>
      <c r="D30" s="436"/>
      <c r="E30" s="436"/>
      <c r="F30" s="436"/>
      <c r="G30" s="436"/>
      <c r="H30" s="436"/>
      <c r="I30" s="436"/>
      <c r="J30" s="436"/>
    </row>
    <row r="31" spans="1:10">
      <c r="A31" s="476" t="s">
        <v>97</v>
      </c>
      <c r="B31" s="438"/>
      <c r="C31" s="438" t="s">
        <v>98</v>
      </c>
      <c r="D31" s="438" t="s">
        <v>99</v>
      </c>
      <c r="E31" s="442" t="s">
        <v>100</v>
      </c>
      <c r="F31" s="443" t="s">
        <v>83</v>
      </c>
      <c r="G31" s="444" t="s">
        <v>84</v>
      </c>
      <c r="H31" s="477"/>
      <c r="I31" s="436"/>
      <c r="J31" s="436"/>
    </row>
    <row r="32" spans="1:10">
      <c r="A32" s="478" t="s">
        <v>227</v>
      </c>
      <c r="B32" s="468"/>
      <c r="C32" s="479">
        <f>PERSONAL!$E$31</f>
        <v>48800</v>
      </c>
      <c r="D32" s="480">
        <f>PERSONAL!$F$31</f>
        <v>1.7431000000000001</v>
      </c>
      <c r="E32" s="440">
        <f>+D32*C32</f>
        <v>85063.28</v>
      </c>
      <c r="F32" s="440">
        <v>10</v>
      </c>
      <c r="G32" s="445">
        <f>ROUND(E32/F32,0)</f>
        <v>8506</v>
      </c>
      <c r="H32" s="451"/>
      <c r="I32" s="436"/>
      <c r="J32" s="436"/>
    </row>
    <row r="33" spans="1:10">
      <c r="A33" s="478" t="s">
        <v>101</v>
      </c>
      <c r="B33" s="467"/>
      <c r="C33" s="479">
        <f>PERSONAL!$E$32</f>
        <v>87200</v>
      </c>
      <c r="D33" s="480">
        <f>PERSONAL!$F$31</f>
        <v>1.7431000000000001</v>
      </c>
      <c r="E33" s="440">
        <f>+D33*C33</f>
        <v>151998.32</v>
      </c>
      <c r="F33" s="440">
        <v>10</v>
      </c>
      <c r="G33" s="445">
        <f>ROUND(E33/F33,0)</f>
        <v>15200</v>
      </c>
      <c r="H33" s="451"/>
      <c r="I33" s="436"/>
      <c r="J33" s="436"/>
    </row>
    <row r="34" spans="1:10">
      <c r="A34" s="478"/>
      <c r="B34" s="468"/>
      <c r="C34" s="430"/>
      <c r="D34" s="459"/>
      <c r="E34" s="430"/>
      <c r="F34" s="440"/>
      <c r="G34" s="445"/>
      <c r="H34" s="451"/>
      <c r="I34" s="436"/>
      <c r="J34" s="436"/>
    </row>
    <row r="35" spans="1:10">
      <c r="A35" s="478"/>
      <c r="B35" s="468"/>
      <c r="C35" s="430"/>
      <c r="D35" s="459"/>
      <c r="E35" s="430"/>
      <c r="F35" s="440"/>
      <c r="G35" s="445"/>
      <c r="H35" s="451"/>
      <c r="I35" s="436"/>
      <c r="J35" s="436"/>
    </row>
    <row r="36" spans="1:10" ht="13.5" thickBot="1">
      <c r="A36" s="481"/>
      <c r="B36" s="474"/>
      <c r="C36" s="474"/>
      <c r="D36" s="474"/>
      <c r="E36" s="474"/>
      <c r="F36" s="474"/>
      <c r="G36" s="482"/>
      <c r="H36" s="482"/>
      <c r="I36" s="436"/>
      <c r="J36" s="436"/>
    </row>
    <row r="37" spans="1:10" ht="13.5" thickBot="1">
      <c r="A37" s="436"/>
      <c r="B37" s="436"/>
      <c r="C37" s="436"/>
      <c r="D37" s="436"/>
      <c r="E37" s="436"/>
      <c r="F37" s="436"/>
      <c r="G37" s="437" t="s">
        <v>86</v>
      </c>
      <c r="H37" s="466">
        <f>SUM(G32:G36)</f>
        <v>23706</v>
      </c>
      <c r="I37" s="541"/>
      <c r="J37" s="541"/>
    </row>
    <row r="38" spans="1:10" ht="13.5" thickBot="1">
      <c r="A38" s="436"/>
      <c r="B38" s="436"/>
      <c r="C38" s="436"/>
      <c r="D38" s="436"/>
      <c r="E38" s="436"/>
      <c r="F38" s="436"/>
      <c r="G38" s="483"/>
      <c r="H38" s="436"/>
      <c r="I38" s="436"/>
      <c r="J38" s="436"/>
    </row>
    <row r="39" spans="1:10" ht="13.5" thickBot="1">
      <c r="A39" s="436"/>
      <c r="B39" s="436"/>
      <c r="C39" s="436"/>
      <c r="D39" s="436"/>
      <c r="E39" s="484" t="s">
        <v>102</v>
      </c>
      <c r="F39" s="485"/>
      <c r="G39" s="485"/>
      <c r="H39" s="466">
        <f>H15+H24+H29+H37</f>
        <v>57354.6</v>
      </c>
      <c r="I39" s="541"/>
      <c r="J39" s="541"/>
    </row>
    <row r="40" spans="1:10" ht="13.5" thickBot="1">
      <c r="A40" s="450" t="s">
        <v>103</v>
      </c>
      <c r="B40" s="450"/>
      <c r="C40" s="436"/>
      <c r="D40" s="436"/>
      <c r="E40" s="436"/>
      <c r="F40" s="436"/>
      <c r="G40" s="436"/>
      <c r="H40" s="436"/>
      <c r="I40" s="436"/>
      <c r="J40" s="436"/>
    </row>
    <row r="41" spans="1:10">
      <c r="A41" s="487" t="s">
        <v>80</v>
      </c>
      <c r="B41" s="488"/>
      <c r="C41" s="488"/>
      <c r="D41" s="488"/>
      <c r="E41" s="489"/>
      <c r="F41" s="490" t="s">
        <v>104</v>
      </c>
      <c r="G41" s="491" t="s">
        <v>105</v>
      </c>
      <c r="H41" s="457"/>
      <c r="I41" s="436"/>
      <c r="J41" s="436"/>
    </row>
    <row r="42" spans="1:10">
      <c r="A42" s="469" t="s">
        <v>106</v>
      </c>
      <c r="B42" s="467"/>
      <c r="C42" s="467"/>
      <c r="D42" s="467"/>
      <c r="E42" s="468"/>
      <c r="F42" s="492">
        <f>PRESUPUESTO!$E$222</f>
        <v>0.109</v>
      </c>
      <c r="G42" s="493">
        <f>+F42*H39</f>
        <v>6251.6513999999997</v>
      </c>
      <c r="H42" s="550"/>
      <c r="I42" s="436"/>
      <c r="J42" s="436"/>
    </row>
    <row r="43" spans="1:10">
      <c r="A43" s="469" t="s">
        <v>107</v>
      </c>
      <c r="B43" s="467"/>
      <c r="C43" s="467"/>
      <c r="D43" s="467"/>
      <c r="E43" s="468"/>
      <c r="F43" s="492">
        <f>PRESUPUESTO!$E$223</f>
        <v>0.05</v>
      </c>
      <c r="G43" s="493">
        <f>+F43*H39</f>
        <v>2867.73</v>
      </c>
      <c r="H43" s="550"/>
      <c r="I43" s="436"/>
      <c r="J43" s="436"/>
    </row>
    <row r="44" spans="1:10" ht="13.5" thickBot="1">
      <c r="A44" s="472" t="s">
        <v>108</v>
      </c>
      <c r="B44" s="473"/>
      <c r="C44" s="473"/>
      <c r="D44" s="473"/>
      <c r="E44" s="474"/>
      <c r="F44" s="494">
        <v>0</v>
      </c>
      <c r="G44" s="495">
        <f>+F44*H39</f>
        <v>0</v>
      </c>
      <c r="H44" s="465"/>
      <c r="I44" s="436"/>
      <c r="J44" s="436"/>
    </row>
    <row r="45" spans="1:10" ht="13.5" thickBot="1">
      <c r="A45" s="436"/>
      <c r="B45" s="436"/>
      <c r="C45" s="436"/>
      <c r="D45" s="436"/>
      <c r="E45" s="436"/>
      <c r="F45" s="436"/>
      <c r="G45" s="437" t="s">
        <v>86</v>
      </c>
      <c r="H45" s="496">
        <f>SUM(G42:G44)</f>
        <v>9119.3814000000002</v>
      </c>
      <c r="I45" s="541"/>
      <c r="J45" s="541"/>
    </row>
    <row r="46" spans="1:10" ht="13.5" thickBot="1">
      <c r="A46" s="436"/>
      <c r="B46" s="436"/>
      <c r="C46" s="436"/>
      <c r="D46" s="436"/>
      <c r="E46" s="436"/>
      <c r="F46" s="436"/>
      <c r="G46" s="436"/>
      <c r="H46" s="436"/>
      <c r="I46" s="436"/>
      <c r="J46" s="436"/>
    </row>
    <row r="47" spans="1:10" ht="13.5" thickBot="1">
      <c r="C47" s="436"/>
      <c r="D47" s="484" t="s">
        <v>109</v>
      </c>
      <c r="E47" s="485"/>
      <c r="F47" s="485"/>
      <c r="G47" s="485"/>
      <c r="H47" s="466">
        <f>ROUND((H39+H45),0)</f>
        <v>66474</v>
      </c>
      <c r="I47" s="541"/>
      <c r="J47" s="541"/>
    </row>
    <row r="49" spans="1:8" ht="15">
      <c r="A49" s="186" t="s">
        <v>77</v>
      </c>
    </row>
    <row r="50" spans="1:8" ht="13.5" thickBot="1"/>
    <row r="51" spans="1:8" ht="15" customHeight="1">
      <c r="A51" s="1348" t="s">
        <v>213</v>
      </c>
      <c r="B51" s="1349"/>
      <c r="C51" s="1350"/>
      <c r="D51" s="448"/>
      <c r="E51" s="448"/>
      <c r="F51" s="448"/>
      <c r="G51" s="448"/>
      <c r="H51" s="449"/>
    </row>
    <row r="52" spans="1:8" ht="15" customHeight="1">
      <c r="A52" s="1351"/>
      <c r="B52" s="1352"/>
      <c r="C52" s="1353"/>
      <c r="D52" s="436"/>
      <c r="E52" s="450" t="s">
        <v>78</v>
      </c>
      <c r="F52" s="436"/>
      <c r="G52" s="436"/>
      <c r="H52" s="451"/>
    </row>
    <row r="53" spans="1:8" ht="15" customHeight="1" thickBot="1">
      <c r="A53" s="1354"/>
      <c r="B53" s="1355"/>
      <c r="C53" s="1356"/>
      <c r="D53" s="1360"/>
      <c r="E53" s="1361"/>
      <c r="F53" s="1361"/>
      <c r="G53" s="1361"/>
      <c r="H53" s="1362"/>
    </row>
    <row r="54" spans="1:8">
      <c r="A54" s="455"/>
      <c r="B54" s="436"/>
      <c r="C54" s="436"/>
      <c r="D54" s="436"/>
      <c r="E54" s="436"/>
      <c r="F54" s="436"/>
      <c r="G54" s="436"/>
      <c r="H54" s="436"/>
    </row>
    <row r="55" spans="1:8">
      <c r="A55" s="455" t="s">
        <v>1228</v>
      </c>
      <c r="B55" s="456" t="str">
        <f>+PRESUPUESTO!$B$173</f>
        <v>PINTURA Y REVOQUE</v>
      </c>
      <c r="C55" s="436"/>
      <c r="E55" s="456"/>
      <c r="G55" s="456" t="s">
        <v>1123</v>
      </c>
      <c r="H55" s="436" t="str">
        <f>+PRESUPUESTO!$A$177</f>
        <v>10.2.1</v>
      </c>
    </row>
    <row r="56" spans="1:8" s="931" customFormat="1" ht="26.45" customHeight="1">
      <c r="A56" s="928" t="s">
        <v>1122</v>
      </c>
      <c r="B56" s="1375" t="str">
        <f>VLOOKUP(H55,PRESUPUESTO!$A$18:$F$251,2,FALSE)</f>
        <v>Suministro y aplicación de estuco sobre revoque, incluye filetes y ranuradas requeridas.</v>
      </c>
      <c r="C56" s="1375"/>
      <c r="D56" s="1375"/>
      <c r="E56" s="1375"/>
      <c r="F56" s="1375"/>
      <c r="G56" s="929" t="s">
        <v>9</v>
      </c>
      <c r="H56" s="1024" t="str">
        <f>VLOOKUP(H55,PRESUPUESTO!$A$18:$F$251,3,FALSE)</f>
        <v>m2</v>
      </c>
    </row>
    <row r="57" spans="1:8">
      <c r="A57" s="456"/>
      <c r="B57" s="456"/>
      <c r="C57" s="436"/>
      <c r="D57" s="456"/>
      <c r="E57" s="456"/>
      <c r="F57" s="456"/>
      <c r="G57" s="456"/>
      <c r="H57" s="436"/>
    </row>
    <row r="58" spans="1:8" ht="13.5" thickBot="1">
      <c r="A58" s="450" t="s">
        <v>79</v>
      </c>
      <c r="B58" s="450"/>
      <c r="C58" s="436"/>
      <c r="D58" s="436"/>
      <c r="E58" s="436"/>
      <c r="F58" s="436"/>
      <c r="G58" s="436"/>
      <c r="H58" s="436"/>
    </row>
    <row r="59" spans="1:8">
      <c r="A59" s="1345" t="s">
        <v>80</v>
      </c>
      <c r="B59" s="1346"/>
      <c r="C59" s="1347"/>
      <c r="D59" s="438" t="s">
        <v>81</v>
      </c>
      <c r="E59" s="438" t="s">
        <v>82</v>
      </c>
      <c r="F59" s="438" t="s">
        <v>83</v>
      </c>
      <c r="G59" s="439" t="s">
        <v>84</v>
      </c>
      <c r="H59" s="457"/>
    </row>
    <row r="60" spans="1:8">
      <c r="A60" s="1357" t="s">
        <v>85</v>
      </c>
      <c r="B60" s="1358"/>
      <c r="C60" s="1359"/>
      <c r="D60" s="459"/>
      <c r="E60" s="440"/>
      <c r="F60" s="440"/>
      <c r="G60" s="432">
        <f>ROUND(H85*0.05,0)</f>
        <v>718</v>
      </c>
      <c r="H60" s="460"/>
    </row>
    <row r="61" spans="1:8">
      <c r="A61" s="1357" t="s">
        <v>215</v>
      </c>
      <c r="B61" s="1358"/>
      <c r="C61" s="1359"/>
      <c r="D61" s="461" t="s">
        <v>237</v>
      </c>
      <c r="E61" s="462">
        <f>MATERIALES!$C$4</f>
        <v>14500</v>
      </c>
      <c r="F61" s="440">
        <v>0.3</v>
      </c>
      <c r="G61" s="432">
        <f>E61*F61</f>
        <v>4350</v>
      </c>
      <c r="H61" s="460"/>
    </row>
    <row r="62" spans="1:8" ht="13.5" thickBot="1">
      <c r="A62" s="1342"/>
      <c r="B62" s="1343"/>
      <c r="C62" s="1344"/>
      <c r="D62" s="464"/>
      <c r="E62" s="433"/>
      <c r="F62" s="434"/>
      <c r="G62" s="435"/>
      <c r="H62" s="465"/>
    </row>
    <row r="63" spans="1:8" ht="13.5" thickBot="1">
      <c r="A63" s="436"/>
      <c r="B63" s="436"/>
      <c r="C63" s="436"/>
      <c r="D63" s="436"/>
      <c r="E63" s="436"/>
      <c r="F63" s="436"/>
      <c r="G63" s="437" t="s">
        <v>86</v>
      </c>
      <c r="H63" s="466">
        <f>SUM(G60:G62)</f>
        <v>5068</v>
      </c>
    </row>
    <row r="64" spans="1:8" ht="13.5" thickBot="1">
      <c r="A64" s="450" t="s">
        <v>87</v>
      </c>
      <c r="B64" s="450"/>
      <c r="C64" s="436"/>
      <c r="D64" s="436"/>
      <c r="E64" s="436"/>
      <c r="F64" s="436"/>
      <c r="G64" s="436"/>
      <c r="H64" s="436"/>
    </row>
    <row r="65" spans="1:9">
      <c r="A65" s="1345" t="s">
        <v>80</v>
      </c>
      <c r="B65" s="1346"/>
      <c r="C65" s="1347"/>
      <c r="D65" s="438" t="s">
        <v>88</v>
      </c>
      <c r="E65" s="438" t="s">
        <v>89</v>
      </c>
      <c r="F65" s="438" t="s">
        <v>90</v>
      </c>
      <c r="G65" s="439" t="s">
        <v>84</v>
      </c>
      <c r="H65" s="457"/>
    </row>
    <row r="66" spans="1:9">
      <c r="A66" s="458" t="s">
        <v>251</v>
      </c>
      <c r="B66" s="467"/>
      <c r="C66" s="468"/>
      <c r="D66" s="459" t="s">
        <v>688</v>
      </c>
      <c r="E66" s="430">
        <f>94900</f>
        <v>94900</v>
      </c>
      <c r="F66" s="440">
        <f>(1/5)/2.5</f>
        <v>0.08</v>
      </c>
      <c r="G66" s="432">
        <f>ROUND(F66*E66,0)</f>
        <v>7592</v>
      </c>
      <c r="H66" s="460"/>
      <c r="I66" s="436"/>
    </row>
    <row r="67" spans="1:9">
      <c r="A67" s="469" t="s">
        <v>341</v>
      </c>
      <c r="B67" s="467"/>
      <c r="C67" s="468"/>
      <c r="D67" s="459" t="s">
        <v>268</v>
      </c>
      <c r="E67" s="430">
        <v>1200</v>
      </c>
      <c r="F67" s="431"/>
      <c r="G67" s="432">
        <f>+E67</f>
        <v>1200</v>
      </c>
      <c r="H67" s="460"/>
      <c r="I67" s="436"/>
    </row>
    <row r="68" spans="1:9">
      <c r="A68" s="469" t="s">
        <v>93</v>
      </c>
      <c r="B68" s="467"/>
      <c r="C68" s="471">
        <v>0.05</v>
      </c>
      <c r="D68" s="459"/>
      <c r="E68" s="430"/>
      <c r="F68" s="431"/>
      <c r="G68" s="432">
        <f>SUM(G65:G67)*C68</f>
        <v>439.6</v>
      </c>
      <c r="H68" s="460"/>
    </row>
    <row r="69" spans="1:9">
      <c r="A69" s="469"/>
      <c r="B69" s="467"/>
      <c r="C69" s="468"/>
      <c r="D69" s="459"/>
      <c r="E69" s="430"/>
      <c r="F69" s="431"/>
      <c r="G69" s="432"/>
      <c r="H69" s="460"/>
    </row>
    <row r="70" spans="1:9">
      <c r="A70" s="469"/>
      <c r="B70" s="467"/>
      <c r="C70" s="468"/>
      <c r="D70" s="459"/>
      <c r="E70" s="430"/>
      <c r="F70" s="431"/>
      <c r="G70" s="432"/>
      <c r="H70" s="460"/>
    </row>
    <row r="71" spans="1:9" ht="13.5" thickBot="1">
      <c r="A71" s="472"/>
      <c r="B71" s="473"/>
      <c r="C71" s="474"/>
      <c r="D71" s="464"/>
      <c r="E71" s="433"/>
      <c r="F71" s="434"/>
      <c r="G71" s="435"/>
      <c r="H71" s="465"/>
    </row>
    <row r="72" spans="1:9" ht="13.5" thickBot="1">
      <c r="A72" s="436"/>
      <c r="B72" s="436"/>
      <c r="C72" s="436"/>
      <c r="D72" s="436"/>
      <c r="E72" s="436"/>
      <c r="F72" s="436"/>
      <c r="G72" s="437" t="s">
        <v>86</v>
      </c>
      <c r="H72" s="466">
        <f>SUM(G66:G71)</f>
        <v>9231.6</v>
      </c>
    </row>
    <row r="73" spans="1:9" ht="13.5" thickBot="1">
      <c r="A73" s="450" t="s">
        <v>94</v>
      </c>
      <c r="B73" s="450"/>
      <c r="C73" s="436"/>
      <c r="D73" s="436"/>
      <c r="E73" s="436"/>
      <c r="F73" s="436"/>
      <c r="G73" s="436"/>
      <c r="H73" s="436"/>
    </row>
    <row r="74" spans="1:9">
      <c r="A74" s="1345" t="s">
        <v>95</v>
      </c>
      <c r="B74" s="1346"/>
      <c r="C74" s="1347"/>
      <c r="D74" s="438" t="s">
        <v>88</v>
      </c>
      <c r="E74" s="438" t="s">
        <v>89</v>
      </c>
      <c r="F74" s="438" t="s">
        <v>90</v>
      </c>
      <c r="G74" s="439" t="s">
        <v>84</v>
      </c>
      <c r="H74" s="457"/>
    </row>
    <row r="75" spans="1:9">
      <c r="A75" s="458" t="s">
        <v>251</v>
      </c>
      <c r="B75" s="467"/>
      <c r="C75" s="468"/>
      <c r="D75" s="459" t="s">
        <v>237</v>
      </c>
      <c r="E75" s="430">
        <v>350</v>
      </c>
      <c r="F75" s="440">
        <v>1</v>
      </c>
      <c r="G75" s="440">
        <f>E75*F75</f>
        <v>350</v>
      </c>
      <c r="H75" s="460"/>
    </row>
    <row r="76" spans="1:9" ht="13.5" thickBot="1">
      <c r="A76" s="1342" t="s">
        <v>235</v>
      </c>
      <c r="B76" s="1343"/>
      <c r="C76" s="1344"/>
      <c r="D76" s="475" t="s">
        <v>237</v>
      </c>
      <c r="E76" s="433">
        <v>200</v>
      </c>
      <c r="F76" s="434">
        <v>1</v>
      </c>
      <c r="G76" s="441">
        <f>+F76*E76</f>
        <v>200</v>
      </c>
      <c r="H76" s="460"/>
    </row>
    <row r="77" spans="1:9" ht="13.5" thickBot="1">
      <c r="A77" s="436"/>
      <c r="B77" s="436"/>
      <c r="C77" s="436"/>
      <c r="D77" s="436"/>
      <c r="E77" s="436"/>
      <c r="F77" s="436"/>
      <c r="G77" s="437" t="s">
        <v>86</v>
      </c>
      <c r="H77" s="466">
        <f>SUM(G75:G76)</f>
        <v>550</v>
      </c>
    </row>
    <row r="78" spans="1:9" ht="13.5" thickBot="1">
      <c r="A78" s="450" t="s">
        <v>96</v>
      </c>
      <c r="B78" s="450"/>
      <c r="C78" s="436"/>
      <c r="D78" s="436"/>
      <c r="E78" s="436"/>
      <c r="F78" s="436"/>
      <c r="G78" s="436"/>
      <c r="H78" s="436"/>
    </row>
    <row r="79" spans="1:9">
      <c r="A79" s="476" t="s">
        <v>97</v>
      </c>
      <c r="B79" s="438"/>
      <c r="C79" s="438" t="s">
        <v>98</v>
      </c>
      <c r="D79" s="438" t="s">
        <v>99</v>
      </c>
      <c r="E79" s="442" t="s">
        <v>100</v>
      </c>
      <c r="F79" s="443" t="s">
        <v>83</v>
      </c>
      <c r="G79" s="444" t="s">
        <v>84</v>
      </c>
      <c r="H79" s="477"/>
    </row>
    <row r="80" spans="1:9">
      <c r="A80" s="478" t="s">
        <v>227</v>
      </c>
      <c r="B80" s="468"/>
      <c r="C80" s="479">
        <f>PERSONAL!$E$31</f>
        <v>48800</v>
      </c>
      <c r="D80" s="480">
        <f>PERSONAL!$F$31</f>
        <v>1.7431000000000001</v>
      </c>
      <c r="E80" s="440">
        <f>+D80*C80</f>
        <v>85063.28</v>
      </c>
      <c r="F80" s="440">
        <v>16.5</v>
      </c>
      <c r="G80" s="445">
        <f>ROUND(E80/F80,0)</f>
        <v>5155</v>
      </c>
      <c r="H80" s="451"/>
    </row>
    <row r="81" spans="1:8">
      <c r="A81" s="478" t="s">
        <v>101</v>
      </c>
      <c r="B81" s="467"/>
      <c r="C81" s="479">
        <f>PERSONAL!$E$32</f>
        <v>87200</v>
      </c>
      <c r="D81" s="480">
        <f>PERSONAL!$F$31</f>
        <v>1.7431000000000001</v>
      </c>
      <c r="E81" s="440">
        <f>+D81*C81</f>
        <v>151998.32</v>
      </c>
      <c r="F81" s="440">
        <f>+F80</f>
        <v>16.5</v>
      </c>
      <c r="G81" s="445">
        <f>ROUND(E81/F81,0)</f>
        <v>9212</v>
      </c>
      <c r="H81" s="451"/>
    </row>
    <row r="82" spans="1:8">
      <c r="A82" s="478"/>
      <c r="B82" s="468"/>
      <c r="C82" s="430"/>
      <c r="D82" s="459"/>
      <c r="E82" s="430"/>
      <c r="F82" s="440"/>
      <c r="G82" s="445"/>
      <c r="H82" s="451"/>
    </row>
    <row r="83" spans="1:8">
      <c r="A83" s="478"/>
      <c r="B83" s="468"/>
      <c r="C83" s="430"/>
      <c r="D83" s="459"/>
      <c r="E83" s="430"/>
      <c r="F83" s="440"/>
      <c r="G83" s="445"/>
      <c r="H83" s="451"/>
    </row>
    <row r="84" spans="1:8" ht="13.5" thickBot="1">
      <c r="A84" s="481"/>
      <c r="B84" s="474"/>
      <c r="C84" s="474"/>
      <c r="D84" s="474"/>
      <c r="E84" s="474"/>
      <c r="F84" s="474"/>
      <c r="G84" s="482"/>
      <c r="H84" s="482"/>
    </row>
    <row r="85" spans="1:8" ht="13.5" thickBot="1">
      <c r="A85" s="436"/>
      <c r="B85" s="436"/>
      <c r="C85" s="436"/>
      <c r="D85" s="436"/>
      <c r="E85" s="436"/>
      <c r="F85" s="436"/>
      <c r="G85" s="437" t="s">
        <v>86</v>
      </c>
      <c r="H85" s="466">
        <f>SUM(G80:G84)</f>
        <v>14367</v>
      </c>
    </row>
    <row r="86" spans="1:8" ht="13.5" thickBot="1">
      <c r="A86" s="436"/>
      <c r="B86" s="436"/>
      <c r="C86" s="436"/>
      <c r="D86" s="436"/>
      <c r="E86" s="436"/>
      <c r="F86" s="436"/>
      <c r="G86" s="483"/>
      <c r="H86" s="436"/>
    </row>
    <row r="87" spans="1:8" ht="13.5" thickBot="1">
      <c r="A87" s="436"/>
      <c r="B87" s="436"/>
      <c r="C87" s="436"/>
      <c r="D87" s="436"/>
      <c r="E87" s="484" t="s">
        <v>102</v>
      </c>
      <c r="F87" s="485"/>
      <c r="G87" s="485"/>
      <c r="H87" s="466">
        <f>H63+H72+H77+H85</f>
        <v>29216.6</v>
      </c>
    </row>
    <row r="88" spans="1:8" ht="13.5" thickBot="1">
      <c r="A88" s="450" t="s">
        <v>103</v>
      </c>
      <c r="B88" s="450"/>
      <c r="C88" s="436"/>
      <c r="D88" s="436"/>
      <c r="E88" s="436"/>
      <c r="F88" s="436"/>
      <c r="G88" s="436"/>
      <c r="H88" s="436"/>
    </row>
    <row r="89" spans="1:8">
      <c r="A89" s="487" t="s">
        <v>80</v>
      </c>
      <c r="B89" s="488"/>
      <c r="C89" s="488"/>
      <c r="D89" s="488"/>
      <c r="E89" s="489"/>
      <c r="F89" s="490" t="s">
        <v>104</v>
      </c>
      <c r="G89" s="491" t="s">
        <v>105</v>
      </c>
      <c r="H89" s="457"/>
    </row>
    <row r="90" spans="1:8">
      <c r="A90" s="469" t="s">
        <v>106</v>
      </c>
      <c r="B90" s="467"/>
      <c r="C90" s="467"/>
      <c r="D90" s="467"/>
      <c r="E90" s="468"/>
      <c r="F90" s="492">
        <f>PRESUPUESTO!$E$222</f>
        <v>0.109</v>
      </c>
      <c r="G90" s="493">
        <f>+F90*H87</f>
        <v>3184.6093999999998</v>
      </c>
      <c r="H90" s="550"/>
    </row>
    <row r="91" spans="1:8">
      <c r="A91" s="469" t="s">
        <v>107</v>
      </c>
      <c r="B91" s="467"/>
      <c r="C91" s="467"/>
      <c r="D91" s="467"/>
      <c r="E91" s="468"/>
      <c r="F91" s="492">
        <f>PRESUPUESTO!$E$223</f>
        <v>0.05</v>
      </c>
      <c r="G91" s="493">
        <f>+F91*H87</f>
        <v>1460.83</v>
      </c>
      <c r="H91" s="550"/>
    </row>
    <row r="92" spans="1:8" ht="13.5" thickBot="1">
      <c r="A92" s="472" t="s">
        <v>108</v>
      </c>
      <c r="B92" s="473"/>
      <c r="C92" s="473"/>
      <c r="D92" s="473"/>
      <c r="E92" s="474"/>
      <c r="F92" s="494">
        <v>0</v>
      </c>
      <c r="G92" s="495">
        <f>+F92*H87</f>
        <v>0</v>
      </c>
      <c r="H92" s="465"/>
    </row>
    <row r="93" spans="1:8" ht="13.5" thickBot="1">
      <c r="A93" s="436"/>
      <c r="B93" s="436"/>
      <c r="C93" s="436"/>
      <c r="D93" s="436"/>
      <c r="E93" s="436"/>
      <c r="F93" s="436"/>
      <c r="G93" s="437" t="s">
        <v>86</v>
      </c>
      <c r="H93" s="496">
        <f>SUM(G90:G92)</f>
        <v>4645.4393999999993</v>
      </c>
    </row>
    <row r="94" spans="1:8" ht="13.5" thickBot="1">
      <c r="A94" s="436"/>
      <c r="B94" s="436"/>
      <c r="C94" s="436"/>
      <c r="D94" s="436"/>
      <c r="E94" s="436"/>
      <c r="F94" s="436"/>
      <c r="G94" s="436"/>
      <c r="H94" s="436"/>
    </row>
    <row r="95" spans="1:8" ht="13.5" thickBot="1">
      <c r="C95" s="436"/>
      <c r="D95" s="484" t="s">
        <v>109</v>
      </c>
      <c r="E95" s="485"/>
      <c r="F95" s="485"/>
      <c r="G95" s="485"/>
      <c r="H95" s="466">
        <f>ROUND((H87+H93),0)</f>
        <v>33862</v>
      </c>
    </row>
    <row r="97" spans="1:8" ht="15">
      <c r="A97" s="186" t="s">
        <v>77</v>
      </c>
    </row>
    <row r="98" spans="1:8" ht="13.5" thickBot="1"/>
    <row r="99" spans="1:8">
      <c r="A99" s="1348" t="s">
        <v>213</v>
      </c>
      <c r="B99" s="1349"/>
      <c r="C99" s="1350"/>
      <c r="D99" s="448"/>
      <c r="E99" s="448"/>
      <c r="F99" s="448"/>
      <c r="G99" s="448"/>
      <c r="H99" s="449"/>
    </row>
    <row r="100" spans="1:8">
      <c r="A100" s="1351"/>
      <c r="B100" s="1352"/>
      <c r="C100" s="1353"/>
      <c r="D100" s="436"/>
      <c r="E100" s="450" t="s">
        <v>78</v>
      </c>
      <c r="F100" s="436"/>
      <c r="G100" s="436"/>
      <c r="H100" s="451"/>
    </row>
    <row r="101" spans="1:8" ht="13.5" thickBot="1">
      <c r="A101" s="1354"/>
      <c r="B101" s="1355"/>
      <c r="C101" s="1356"/>
      <c r="D101" s="1360"/>
      <c r="E101" s="1361"/>
      <c r="F101" s="1361"/>
      <c r="G101" s="1361"/>
      <c r="H101" s="1362"/>
    </row>
    <row r="102" spans="1:8">
      <c r="A102" s="455"/>
      <c r="B102" s="436"/>
      <c r="C102" s="436"/>
      <c r="D102" s="436"/>
      <c r="E102" s="436"/>
      <c r="F102" s="436"/>
      <c r="G102" s="436"/>
      <c r="H102" s="436"/>
    </row>
    <row r="103" spans="1:8">
      <c r="A103" s="455" t="s">
        <v>1228</v>
      </c>
      <c r="B103" s="456" t="str">
        <f>+PRESUPUESTO!$B$173</f>
        <v>PINTURA Y REVOQUE</v>
      </c>
      <c r="C103" s="436"/>
      <c r="E103" s="456"/>
      <c r="G103" s="456" t="s">
        <v>1123</v>
      </c>
      <c r="H103" s="436" t="str">
        <f>+PRESUPUESTO!$A$178</f>
        <v>10.2.2</v>
      </c>
    </row>
    <row r="104" spans="1:8" s="931" customFormat="1" ht="26.45" customHeight="1">
      <c r="A104" s="928" t="s">
        <v>1122</v>
      </c>
      <c r="B104" s="1375" t="str">
        <f>VLOOKUP(H103,PRESUPUESTO!$A$18:$F$251,2,FALSE)</f>
        <v>Suministro y aplicación de pintura epoxica de pintuco o similar color blanco, aplicado sobre estuco para interior de locales.</v>
      </c>
      <c r="C104" s="1375"/>
      <c r="D104" s="1375"/>
      <c r="E104" s="1375"/>
      <c r="F104" s="1375"/>
      <c r="G104" s="929" t="s">
        <v>9</v>
      </c>
      <c r="H104" s="1024" t="str">
        <f>VLOOKUP(H103,PRESUPUESTO!$A$18:$F$251,3,FALSE)</f>
        <v>m2</v>
      </c>
    </row>
    <row r="105" spans="1:8">
      <c r="A105" s="456"/>
      <c r="B105" s="456"/>
      <c r="C105" s="436"/>
      <c r="D105" s="456"/>
      <c r="E105" s="456"/>
      <c r="F105" s="456"/>
      <c r="G105" s="456"/>
      <c r="H105" s="436"/>
    </row>
    <row r="106" spans="1:8" ht="13.5" thickBot="1">
      <c r="A106" s="450" t="s">
        <v>79</v>
      </c>
      <c r="B106" s="450"/>
      <c r="C106" s="436"/>
      <c r="D106" s="436"/>
      <c r="E106" s="436"/>
      <c r="F106" s="436"/>
      <c r="G106" s="436"/>
      <c r="H106" s="436"/>
    </row>
    <row r="107" spans="1:8">
      <c r="A107" s="1345" t="s">
        <v>80</v>
      </c>
      <c r="B107" s="1346"/>
      <c r="C107" s="1347"/>
      <c r="D107" s="438" t="s">
        <v>81</v>
      </c>
      <c r="E107" s="438" t="s">
        <v>82</v>
      </c>
      <c r="F107" s="438" t="s">
        <v>83</v>
      </c>
      <c r="G107" s="439" t="s">
        <v>84</v>
      </c>
      <c r="H107" s="457"/>
    </row>
    <row r="108" spans="1:8">
      <c r="A108" s="1357" t="s">
        <v>85</v>
      </c>
      <c r="B108" s="1358"/>
      <c r="C108" s="1359"/>
      <c r="D108" s="459"/>
      <c r="E108" s="440"/>
      <c r="F108" s="440"/>
      <c r="G108" s="432">
        <f>ROUND(H134*0.05,0)</f>
        <v>847</v>
      </c>
      <c r="H108" s="460"/>
    </row>
    <row r="109" spans="1:8">
      <c r="A109" s="1357" t="s">
        <v>215</v>
      </c>
      <c r="B109" s="1358"/>
      <c r="C109" s="1359"/>
      <c r="D109" s="461" t="s">
        <v>237</v>
      </c>
      <c r="E109" s="462">
        <f>MATERIALES!$C$4</f>
        <v>14500</v>
      </c>
      <c r="F109" s="440">
        <v>0.35</v>
      </c>
      <c r="G109" s="432">
        <f>E109*F109</f>
        <v>5075</v>
      </c>
      <c r="H109" s="460"/>
    </row>
    <row r="110" spans="1:8" ht="13.5" thickBot="1">
      <c r="A110" s="1342"/>
      <c r="B110" s="1343"/>
      <c r="C110" s="1344"/>
      <c r="D110" s="464"/>
      <c r="E110" s="433"/>
      <c r="F110" s="434"/>
      <c r="G110" s="435"/>
      <c r="H110" s="465"/>
    </row>
    <row r="111" spans="1:8" ht="13.5" thickBot="1">
      <c r="A111" s="436"/>
      <c r="B111" s="436"/>
      <c r="C111" s="436"/>
      <c r="D111" s="436"/>
      <c r="E111" s="436"/>
      <c r="F111" s="436"/>
      <c r="G111" s="437" t="s">
        <v>86</v>
      </c>
      <c r="H111" s="466">
        <f>SUM(G108:G110)</f>
        <v>5922</v>
      </c>
    </row>
    <row r="112" spans="1:8" ht="13.5" thickBot="1">
      <c r="A112" s="450" t="s">
        <v>87</v>
      </c>
      <c r="B112" s="450"/>
      <c r="C112" s="436"/>
      <c r="D112" s="436"/>
      <c r="E112" s="436"/>
      <c r="F112" s="436"/>
      <c r="G112" s="436"/>
      <c r="H112" s="436"/>
    </row>
    <row r="113" spans="1:8">
      <c r="A113" s="1345" t="s">
        <v>80</v>
      </c>
      <c r="B113" s="1346"/>
      <c r="C113" s="1347"/>
      <c r="D113" s="438" t="s">
        <v>88</v>
      </c>
      <c r="E113" s="438" t="s">
        <v>89</v>
      </c>
      <c r="F113" s="438" t="s">
        <v>90</v>
      </c>
      <c r="G113" s="439" t="s">
        <v>84</v>
      </c>
      <c r="H113" s="457"/>
    </row>
    <row r="114" spans="1:8">
      <c r="A114" s="458" t="s">
        <v>254</v>
      </c>
      <c r="B114" s="467"/>
      <c r="C114" s="468"/>
      <c r="D114" s="459" t="s">
        <v>256</v>
      </c>
      <c r="E114" s="430">
        <f>MATERIALES!$C$20</f>
        <v>270000</v>
      </c>
      <c r="F114" s="440">
        <f>((1/20)+(1/40))*1.05</f>
        <v>7.8750000000000014E-2</v>
      </c>
      <c r="G114" s="432">
        <f>ROUND(F114*E114,0)</f>
        <v>21263</v>
      </c>
      <c r="H114" s="460"/>
    </row>
    <row r="115" spans="1:8">
      <c r="A115" s="469" t="s">
        <v>689</v>
      </c>
      <c r="B115" s="467"/>
      <c r="C115" s="468"/>
      <c r="D115" s="459" t="s">
        <v>268</v>
      </c>
      <c r="E115" s="430">
        <f>107900</f>
        <v>107900</v>
      </c>
      <c r="F115" s="431">
        <f>+F114/4</f>
        <v>1.9687500000000004E-2</v>
      </c>
      <c r="G115" s="432">
        <f>ROUND(F115*E115,0)</f>
        <v>2124</v>
      </c>
      <c r="H115" s="460"/>
    </row>
    <row r="116" spans="1:8">
      <c r="A116" s="469" t="s">
        <v>341</v>
      </c>
      <c r="B116" s="467"/>
      <c r="C116" s="468"/>
      <c r="D116" s="459" t="s">
        <v>268</v>
      </c>
      <c r="E116" s="430">
        <v>3200</v>
      </c>
      <c r="F116" s="431">
        <v>1</v>
      </c>
      <c r="G116" s="432">
        <f>ROUND(F116*E116,0)</f>
        <v>3200</v>
      </c>
      <c r="H116" s="460"/>
    </row>
    <row r="117" spans="1:8">
      <c r="A117" s="469" t="s">
        <v>93</v>
      </c>
      <c r="B117" s="467"/>
      <c r="C117" s="471">
        <v>0.05</v>
      </c>
      <c r="D117" s="459"/>
      <c r="E117" s="430"/>
      <c r="F117" s="431"/>
      <c r="G117" s="432">
        <f>SUM(G113:G116)*C117</f>
        <v>1329.3500000000001</v>
      </c>
      <c r="H117" s="460"/>
    </row>
    <row r="118" spans="1:8">
      <c r="A118" s="469"/>
      <c r="B118" s="467"/>
      <c r="C118" s="468"/>
      <c r="D118" s="459"/>
      <c r="E118" s="430"/>
      <c r="F118" s="431"/>
      <c r="G118" s="432"/>
      <c r="H118" s="460"/>
    </row>
    <row r="119" spans="1:8">
      <c r="A119" s="469"/>
      <c r="B119" s="467"/>
      <c r="C119" s="468"/>
      <c r="D119" s="459"/>
      <c r="E119" s="430"/>
      <c r="F119" s="431"/>
      <c r="G119" s="432"/>
      <c r="H119" s="460"/>
    </row>
    <row r="120" spans="1:8" ht="13.5" thickBot="1">
      <c r="A120" s="472"/>
      <c r="B120" s="473"/>
      <c r="C120" s="474"/>
      <c r="D120" s="464"/>
      <c r="E120" s="433"/>
      <c r="F120" s="434"/>
      <c r="G120" s="435"/>
      <c r="H120" s="465"/>
    </row>
    <row r="121" spans="1:8" ht="13.5" thickBot="1">
      <c r="A121" s="436"/>
      <c r="B121" s="436"/>
      <c r="C121" s="436"/>
      <c r="D121" s="436"/>
      <c r="E121" s="436"/>
      <c r="F121" s="436"/>
      <c r="G121" s="437" t="s">
        <v>86</v>
      </c>
      <c r="H121" s="466">
        <f>SUM(G114:G120)</f>
        <v>27916.35</v>
      </c>
    </row>
    <row r="122" spans="1:8" ht="13.5" thickBot="1">
      <c r="A122" s="450" t="s">
        <v>94</v>
      </c>
      <c r="B122" s="450"/>
      <c r="C122" s="436"/>
      <c r="D122" s="436"/>
      <c r="E122" s="436"/>
      <c r="F122" s="436"/>
      <c r="G122" s="436"/>
      <c r="H122" s="436"/>
    </row>
    <row r="123" spans="1:8">
      <c r="A123" s="1345" t="s">
        <v>95</v>
      </c>
      <c r="B123" s="1346"/>
      <c r="C123" s="1347"/>
      <c r="D123" s="438" t="s">
        <v>88</v>
      </c>
      <c r="E123" s="438" t="s">
        <v>89</v>
      </c>
      <c r="F123" s="438" t="s">
        <v>90</v>
      </c>
      <c r="G123" s="439" t="s">
        <v>84</v>
      </c>
      <c r="H123" s="457"/>
    </row>
    <row r="124" spans="1:8">
      <c r="A124" s="458" t="s">
        <v>253</v>
      </c>
      <c r="B124" s="467"/>
      <c r="C124" s="468"/>
      <c r="D124" s="459" t="s">
        <v>237</v>
      </c>
      <c r="E124" s="430">
        <v>950</v>
      </c>
      <c r="F124" s="440">
        <v>1</v>
      </c>
      <c r="G124" s="440">
        <f>E124*F124</f>
        <v>950</v>
      </c>
      <c r="H124" s="460"/>
    </row>
    <row r="125" spans="1:8" ht="13.5" thickBot="1">
      <c r="A125" s="1342" t="s">
        <v>235</v>
      </c>
      <c r="B125" s="1343"/>
      <c r="C125" s="1344"/>
      <c r="D125" s="475" t="s">
        <v>237</v>
      </c>
      <c r="E125" s="433">
        <f>+E124*1.5</f>
        <v>1425</v>
      </c>
      <c r="F125" s="434">
        <v>1</v>
      </c>
      <c r="G125" s="441">
        <f>+F125*E125</f>
        <v>1425</v>
      </c>
      <c r="H125" s="460"/>
    </row>
    <row r="126" spans="1:8" ht="13.5" thickBot="1">
      <c r="A126" s="436"/>
      <c r="B126" s="436"/>
      <c r="C126" s="436"/>
      <c r="D126" s="436"/>
      <c r="E126" s="436"/>
      <c r="F126" s="436"/>
      <c r="G126" s="437" t="s">
        <v>86</v>
      </c>
      <c r="H126" s="466">
        <f>SUM(G124:G125)</f>
        <v>2375</v>
      </c>
    </row>
    <row r="127" spans="1:8" ht="13.5" thickBot="1">
      <c r="A127" s="450" t="s">
        <v>96</v>
      </c>
      <c r="B127" s="450"/>
      <c r="C127" s="436"/>
      <c r="D127" s="436"/>
      <c r="E127" s="436"/>
      <c r="F127" s="436"/>
      <c r="G127" s="436"/>
      <c r="H127" s="436"/>
    </row>
    <row r="128" spans="1:8">
      <c r="A128" s="476" t="s">
        <v>97</v>
      </c>
      <c r="B128" s="438"/>
      <c r="C128" s="438" t="s">
        <v>98</v>
      </c>
      <c r="D128" s="438" t="s">
        <v>99</v>
      </c>
      <c r="E128" s="442" t="s">
        <v>100</v>
      </c>
      <c r="F128" s="443" t="s">
        <v>83</v>
      </c>
      <c r="G128" s="444" t="s">
        <v>84</v>
      </c>
      <c r="H128" s="477"/>
    </row>
    <row r="129" spans="1:8">
      <c r="A129" s="478" t="s">
        <v>227</v>
      </c>
      <c r="B129" s="468"/>
      <c r="C129" s="479">
        <f>PERSONAL!$E$31</f>
        <v>48800</v>
      </c>
      <c r="D129" s="480">
        <f>PERSONAL!$F$31</f>
        <v>1.7431000000000001</v>
      </c>
      <c r="E129" s="440">
        <f>+D129*C129</f>
        <v>85063.28</v>
      </c>
      <c r="F129" s="440">
        <v>14</v>
      </c>
      <c r="G129" s="445">
        <f>ROUND(E129/F129,0)</f>
        <v>6076</v>
      </c>
      <c r="H129" s="451"/>
    </row>
    <row r="130" spans="1:8">
      <c r="A130" s="478" t="s">
        <v>101</v>
      </c>
      <c r="B130" s="467"/>
      <c r="C130" s="479">
        <f>PERSONAL!$E$32</f>
        <v>87200</v>
      </c>
      <c r="D130" s="480">
        <f>PERSONAL!$F$31</f>
        <v>1.7431000000000001</v>
      </c>
      <c r="E130" s="440">
        <f>+D130*C130</f>
        <v>151998.32</v>
      </c>
      <c r="F130" s="440">
        <f>+F129</f>
        <v>14</v>
      </c>
      <c r="G130" s="445">
        <f>ROUND(E130/F130,0)</f>
        <v>10857</v>
      </c>
      <c r="H130" s="451"/>
    </row>
    <row r="131" spans="1:8">
      <c r="A131" s="478"/>
      <c r="B131" s="468"/>
      <c r="C131" s="430"/>
      <c r="D131" s="459"/>
      <c r="E131" s="430"/>
      <c r="F131" s="440"/>
      <c r="G131" s="445"/>
      <c r="H131" s="451"/>
    </row>
    <row r="132" spans="1:8">
      <c r="A132" s="478"/>
      <c r="B132" s="468"/>
      <c r="C132" s="430"/>
      <c r="D132" s="459"/>
      <c r="E132" s="430"/>
      <c r="F132" s="440"/>
      <c r="G132" s="445"/>
      <c r="H132" s="451"/>
    </row>
    <row r="133" spans="1:8" ht="13.5" thickBot="1">
      <c r="A133" s="481"/>
      <c r="B133" s="474"/>
      <c r="C133" s="474"/>
      <c r="D133" s="474"/>
      <c r="E133" s="474"/>
      <c r="F133" s="474"/>
      <c r="G133" s="482"/>
      <c r="H133" s="482"/>
    </row>
    <row r="134" spans="1:8" ht="13.5" thickBot="1">
      <c r="A134" s="436"/>
      <c r="B134" s="436"/>
      <c r="C134" s="436"/>
      <c r="D134" s="436"/>
      <c r="E134" s="436"/>
      <c r="F134" s="436"/>
      <c r="G134" s="437" t="s">
        <v>86</v>
      </c>
      <c r="H134" s="466">
        <f>SUM(G129:G133)</f>
        <v>16933</v>
      </c>
    </row>
    <row r="135" spans="1:8" ht="13.5" thickBot="1">
      <c r="A135" s="436"/>
      <c r="B135" s="436"/>
      <c r="C135" s="436"/>
      <c r="D135" s="436"/>
      <c r="E135" s="436"/>
      <c r="F135" s="436"/>
      <c r="G135" s="483"/>
      <c r="H135" s="436"/>
    </row>
    <row r="136" spans="1:8" ht="13.5" thickBot="1">
      <c r="A136" s="436"/>
      <c r="B136" s="436"/>
      <c r="C136" s="436"/>
      <c r="D136" s="436"/>
      <c r="E136" s="484" t="s">
        <v>102</v>
      </c>
      <c r="F136" s="485"/>
      <c r="G136" s="485"/>
      <c r="H136" s="466">
        <f>H111+H121+H126+H134</f>
        <v>53146.35</v>
      </c>
    </row>
    <row r="137" spans="1:8" ht="13.5" thickBot="1">
      <c r="A137" s="450" t="s">
        <v>103</v>
      </c>
      <c r="B137" s="450"/>
      <c r="C137" s="436"/>
      <c r="D137" s="436"/>
      <c r="E137" s="436"/>
      <c r="F137" s="436"/>
      <c r="G137" s="436"/>
      <c r="H137" s="436"/>
    </row>
    <row r="138" spans="1:8">
      <c r="A138" s="487" t="s">
        <v>80</v>
      </c>
      <c r="B138" s="488"/>
      <c r="C138" s="488"/>
      <c r="D138" s="488"/>
      <c r="E138" s="489"/>
      <c r="F138" s="490" t="s">
        <v>104</v>
      </c>
      <c r="G138" s="491" t="s">
        <v>105</v>
      </c>
      <c r="H138" s="457"/>
    </row>
    <row r="139" spans="1:8">
      <c r="A139" s="469" t="s">
        <v>106</v>
      </c>
      <c r="B139" s="467"/>
      <c r="C139" s="467"/>
      <c r="D139" s="467"/>
      <c r="E139" s="468"/>
      <c r="F139" s="492">
        <f>PRESUPUESTO!$E$222</f>
        <v>0.109</v>
      </c>
      <c r="G139" s="493">
        <f>+F139*H136</f>
        <v>5792.9521500000001</v>
      </c>
      <c r="H139" s="550"/>
    </row>
    <row r="140" spans="1:8">
      <c r="A140" s="469" t="s">
        <v>107</v>
      </c>
      <c r="B140" s="467"/>
      <c r="C140" s="467"/>
      <c r="D140" s="467"/>
      <c r="E140" s="468"/>
      <c r="F140" s="492">
        <f>PRESUPUESTO!$E$223</f>
        <v>0.05</v>
      </c>
      <c r="G140" s="493">
        <f>+F140*H136</f>
        <v>2657.3175000000001</v>
      </c>
      <c r="H140" s="550"/>
    </row>
    <row r="141" spans="1:8" ht="13.5" thickBot="1">
      <c r="A141" s="472" t="s">
        <v>108</v>
      </c>
      <c r="B141" s="473"/>
      <c r="C141" s="473"/>
      <c r="D141" s="473"/>
      <c r="E141" s="474"/>
      <c r="F141" s="494">
        <v>0</v>
      </c>
      <c r="G141" s="495">
        <f>+F141*H136</f>
        <v>0</v>
      </c>
      <c r="H141" s="465"/>
    </row>
    <row r="142" spans="1:8" ht="13.5" thickBot="1">
      <c r="A142" s="436"/>
      <c r="B142" s="436"/>
      <c r="C142" s="436"/>
      <c r="D142" s="436"/>
      <c r="E142" s="436"/>
      <c r="F142" s="436"/>
      <c r="G142" s="437" t="s">
        <v>86</v>
      </c>
      <c r="H142" s="496">
        <f>SUM(G139:G141)</f>
        <v>8450.2696500000002</v>
      </c>
    </row>
    <row r="143" spans="1:8" ht="13.5" thickBot="1">
      <c r="A143" s="436"/>
      <c r="B143" s="436"/>
      <c r="C143" s="436"/>
      <c r="D143" s="436"/>
      <c r="E143" s="436"/>
      <c r="F143" s="436"/>
      <c r="G143" s="436"/>
      <c r="H143" s="436"/>
    </row>
    <row r="144" spans="1:8" ht="13.5" thickBot="1">
      <c r="C144" s="436"/>
      <c r="D144" s="484" t="s">
        <v>109</v>
      </c>
      <c r="E144" s="485"/>
      <c r="F144" s="485"/>
      <c r="G144" s="485"/>
      <c r="H144" s="466">
        <f>ROUND((H136+H142),0)</f>
        <v>61597</v>
      </c>
    </row>
    <row r="146" spans="1:8" ht="15">
      <c r="A146" s="186" t="s">
        <v>77</v>
      </c>
    </row>
    <row r="147" spans="1:8" ht="13.5" thickBot="1"/>
    <row r="148" spans="1:8">
      <c r="A148" s="1348" t="s">
        <v>213</v>
      </c>
      <c r="B148" s="1349"/>
      <c r="C148" s="1350"/>
      <c r="D148" s="448"/>
      <c r="E148" s="448"/>
      <c r="F148" s="448"/>
      <c r="G148" s="448"/>
      <c r="H148" s="449"/>
    </row>
    <row r="149" spans="1:8">
      <c r="A149" s="1351"/>
      <c r="B149" s="1352"/>
      <c r="C149" s="1353"/>
      <c r="D149" s="436"/>
      <c r="E149" s="450" t="s">
        <v>78</v>
      </c>
      <c r="F149" s="436"/>
      <c r="G149" s="436"/>
      <c r="H149" s="451"/>
    </row>
    <row r="150" spans="1:8" ht="13.5" thickBot="1">
      <c r="A150" s="1354"/>
      <c r="B150" s="1355"/>
      <c r="C150" s="1356"/>
      <c r="D150" s="1360"/>
      <c r="E150" s="1361"/>
      <c r="F150" s="1361"/>
      <c r="G150" s="1361"/>
      <c r="H150" s="1362"/>
    </row>
    <row r="151" spans="1:8">
      <c r="A151" s="455"/>
      <c r="B151" s="436"/>
      <c r="C151" s="436"/>
      <c r="D151" s="436"/>
      <c r="E151" s="436"/>
      <c r="F151" s="436"/>
      <c r="G151" s="436"/>
      <c r="H151" s="436"/>
    </row>
    <row r="152" spans="1:8">
      <c r="A152" s="455" t="s">
        <v>1228</v>
      </c>
      <c r="B152" s="456" t="str">
        <f>+PRESUPUESTO!$B$173</f>
        <v>PINTURA Y REVOQUE</v>
      </c>
      <c r="C152" s="436"/>
      <c r="E152" s="456"/>
      <c r="G152" s="456" t="s">
        <v>1123</v>
      </c>
      <c r="H152" s="436" t="str">
        <f>+PRESUPUESTO!$A$179</f>
        <v>10.2.3</v>
      </c>
    </row>
    <row r="153" spans="1:8" s="931" customFormat="1" ht="26.45" customHeight="1">
      <c r="A153" s="928" t="s">
        <v>1122</v>
      </c>
      <c r="B153" s="1375" t="str">
        <f>VLOOKUP(H152,PRESUPUESTO!$A$18:$F$251,2,FALSE)</f>
        <v>Suministro y aplicación de pintura tipo koraza de pintuco o similar para fachada de locales comerciales de colores de acuerdo al modelo, aplicado sobre revoque rustico.</v>
      </c>
      <c r="C153" s="1375"/>
      <c r="D153" s="1375"/>
      <c r="E153" s="1375"/>
      <c r="F153" s="1375"/>
      <c r="G153" s="929" t="s">
        <v>9</v>
      </c>
      <c r="H153" s="1024" t="str">
        <f>VLOOKUP(H152,PRESUPUESTO!$A$18:$F$251,3,FALSE)</f>
        <v>m2</v>
      </c>
    </row>
    <row r="154" spans="1:8">
      <c r="A154" s="456"/>
      <c r="B154" s="456"/>
      <c r="C154" s="436"/>
      <c r="D154" s="456"/>
      <c r="E154" s="456"/>
      <c r="F154" s="456"/>
      <c r="G154" s="456"/>
      <c r="H154" s="436"/>
    </row>
    <row r="155" spans="1:8" ht="13.5" thickBot="1">
      <c r="A155" s="450" t="s">
        <v>79</v>
      </c>
      <c r="B155" s="450"/>
      <c r="C155" s="436"/>
      <c r="D155" s="436"/>
      <c r="E155" s="436"/>
      <c r="F155" s="436"/>
      <c r="G155" s="436"/>
      <c r="H155" s="436"/>
    </row>
    <row r="156" spans="1:8">
      <c r="A156" s="1345" t="s">
        <v>80</v>
      </c>
      <c r="B156" s="1346"/>
      <c r="C156" s="1347"/>
      <c r="D156" s="438" t="s">
        <v>81</v>
      </c>
      <c r="E156" s="438" t="s">
        <v>82</v>
      </c>
      <c r="F156" s="438" t="s">
        <v>83</v>
      </c>
      <c r="G156" s="439" t="s">
        <v>84</v>
      </c>
      <c r="H156" s="457"/>
    </row>
    <row r="157" spans="1:8">
      <c r="A157" s="1357" t="s">
        <v>85</v>
      </c>
      <c r="B157" s="1358"/>
      <c r="C157" s="1359"/>
      <c r="D157" s="459"/>
      <c r="E157" s="440"/>
      <c r="F157" s="440"/>
      <c r="G157" s="432">
        <f>ROUND(H182*0.05,0)</f>
        <v>474</v>
      </c>
      <c r="H157" s="460"/>
    </row>
    <row r="158" spans="1:8">
      <c r="A158" s="1357" t="s">
        <v>215</v>
      </c>
      <c r="B158" s="1358"/>
      <c r="C158" s="1359"/>
      <c r="D158" s="461" t="s">
        <v>237</v>
      </c>
      <c r="E158" s="462">
        <f>MATERIALES!$C$4</f>
        <v>14500</v>
      </c>
      <c r="F158" s="440">
        <v>0.3</v>
      </c>
      <c r="G158" s="432">
        <f>E158*F158</f>
        <v>4350</v>
      </c>
      <c r="H158" s="460"/>
    </row>
    <row r="159" spans="1:8" ht="13.5" thickBot="1">
      <c r="A159" s="1342"/>
      <c r="B159" s="1343"/>
      <c r="C159" s="1344"/>
      <c r="D159" s="464"/>
      <c r="E159" s="433"/>
      <c r="F159" s="434"/>
      <c r="G159" s="435"/>
      <c r="H159" s="465"/>
    </row>
    <row r="160" spans="1:8" ht="13.5" thickBot="1">
      <c r="A160" s="436"/>
      <c r="B160" s="436"/>
      <c r="C160" s="436"/>
      <c r="D160" s="436"/>
      <c r="E160" s="436"/>
      <c r="F160" s="436"/>
      <c r="G160" s="437" t="s">
        <v>86</v>
      </c>
      <c r="H160" s="466">
        <f>SUM(G157:G159)</f>
        <v>4824</v>
      </c>
    </row>
    <row r="161" spans="1:8" ht="13.5" thickBot="1">
      <c r="A161" s="450" t="s">
        <v>87</v>
      </c>
      <c r="B161" s="450"/>
      <c r="C161" s="436"/>
      <c r="D161" s="436"/>
      <c r="E161" s="436"/>
      <c r="F161" s="436"/>
      <c r="G161" s="436"/>
      <c r="H161" s="436"/>
    </row>
    <row r="162" spans="1:8">
      <c r="A162" s="1345" t="s">
        <v>80</v>
      </c>
      <c r="B162" s="1346"/>
      <c r="C162" s="1347"/>
      <c r="D162" s="438" t="s">
        <v>88</v>
      </c>
      <c r="E162" s="438" t="s">
        <v>89</v>
      </c>
      <c r="F162" s="438" t="s">
        <v>90</v>
      </c>
      <c r="G162" s="439" t="s">
        <v>84</v>
      </c>
      <c r="H162" s="457"/>
    </row>
    <row r="163" spans="1:8">
      <c r="A163" s="458" t="s">
        <v>257</v>
      </c>
      <c r="B163" s="467"/>
      <c r="C163" s="468"/>
      <c r="D163" s="459" t="s">
        <v>255</v>
      </c>
      <c r="E163" s="430">
        <f>MATERIALES!$C$21</f>
        <v>486900</v>
      </c>
      <c r="F163" s="440">
        <f>1/40</f>
        <v>2.5000000000000001E-2</v>
      </c>
      <c r="G163" s="432">
        <f>ROUND(F163*E163,0)</f>
        <v>12173</v>
      </c>
      <c r="H163" s="460"/>
    </row>
    <row r="164" spans="1:8">
      <c r="A164" s="469" t="s">
        <v>341</v>
      </c>
      <c r="B164" s="467"/>
      <c r="C164" s="468"/>
      <c r="D164" s="459" t="s">
        <v>268</v>
      </c>
      <c r="E164" s="430">
        <v>3200</v>
      </c>
      <c r="F164" s="431">
        <v>1</v>
      </c>
      <c r="G164" s="432">
        <f>ROUND(F164*E164,0)</f>
        <v>3200</v>
      </c>
      <c r="H164" s="460"/>
    </row>
    <row r="165" spans="1:8">
      <c r="A165" s="469" t="s">
        <v>93</v>
      </c>
      <c r="B165" s="467"/>
      <c r="C165" s="471">
        <v>0.05</v>
      </c>
      <c r="D165" s="459"/>
      <c r="E165" s="430"/>
      <c r="F165" s="431"/>
      <c r="G165" s="432">
        <f>SUM(G162:G164)*C165</f>
        <v>768.65000000000009</v>
      </c>
      <c r="H165" s="460"/>
    </row>
    <row r="166" spans="1:8">
      <c r="A166" s="469"/>
      <c r="B166" s="467"/>
      <c r="C166" s="468"/>
      <c r="D166" s="459"/>
      <c r="E166" s="430"/>
      <c r="F166" s="431"/>
      <c r="G166" s="432"/>
      <c r="H166" s="460"/>
    </row>
    <row r="167" spans="1:8">
      <c r="A167" s="469"/>
      <c r="B167" s="467"/>
      <c r="C167" s="468"/>
      <c r="D167" s="459"/>
      <c r="E167" s="430"/>
      <c r="F167" s="431"/>
      <c r="G167" s="432"/>
      <c r="H167" s="460"/>
    </row>
    <row r="168" spans="1:8" ht="13.5" thickBot="1">
      <c r="A168" s="472"/>
      <c r="B168" s="473"/>
      <c r="C168" s="474"/>
      <c r="D168" s="464"/>
      <c r="E168" s="433"/>
      <c r="F168" s="434"/>
      <c r="G168" s="435"/>
      <c r="H168" s="465"/>
    </row>
    <row r="169" spans="1:8" ht="13.5" thickBot="1">
      <c r="A169" s="436"/>
      <c r="B169" s="436"/>
      <c r="C169" s="436"/>
      <c r="D169" s="436"/>
      <c r="E169" s="436"/>
      <c r="F169" s="436"/>
      <c r="G169" s="437" t="s">
        <v>86</v>
      </c>
      <c r="H169" s="466">
        <f>SUM(G163:G168)</f>
        <v>16141.65</v>
      </c>
    </row>
    <row r="170" spans="1:8" ht="13.5" thickBot="1">
      <c r="A170" s="450" t="s">
        <v>94</v>
      </c>
      <c r="B170" s="450"/>
      <c r="C170" s="436"/>
      <c r="D170" s="436"/>
      <c r="E170" s="436"/>
      <c r="F170" s="436"/>
      <c r="G170" s="436"/>
      <c r="H170" s="436"/>
    </row>
    <row r="171" spans="1:8">
      <c r="A171" s="1345" t="s">
        <v>95</v>
      </c>
      <c r="B171" s="1346"/>
      <c r="C171" s="1347"/>
      <c r="D171" s="438" t="s">
        <v>88</v>
      </c>
      <c r="E171" s="438" t="s">
        <v>89</v>
      </c>
      <c r="F171" s="438" t="s">
        <v>90</v>
      </c>
      <c r="G171" s="439" t="s">
        <v>84</v>
      </c>
      <c r="H171" s="457"/>
    </row>
    <row r="172" spans="1:8">
      <c r="A172" s="458" t="s">
        <v>261</v>
      </c>
      <c r="B172" s="467"/>
      <c r="C172" s="468"/>
      <c r="D172" s="459" t="s">
        <v>237</v>
      </c>
      <c r="E172" s="430">
        <v>950</v>
      </c>
      <c r="F172" s="440">
        <v>1</v>
      </c>
      <c r="G172" s="440">
        <f>E172*F172</f>
        <v>950</v>
      </c>
      <c r="H172" s="460"/>
    </row>
    <row r="173" spans="1:8" ht="13.5" thickBot="1">
      <c r="A173" s="1342" t="s">
        <v>235</v>
      </c>
      <c r="B173" s="1343"/>
      <c r="C173" s="1344"/>
      <c r="D173" s="475" t="s">
        <v>237</v>
      </c>
      <c r="E173" s="433">
        <f>+E172*1.5</f>
        <v>1425</v>
      </c>
      <c r="F173" s="434">
        <v>1</v>
      </c>
      <c r="G173" s="441">
        <f>+F173*E173</f>
        <v>1425</v>
      </c>
      <c r="H173" s="460"/>
    </row>
    <row r="174" spans="1:8" ht="13.5" thickBot="1">
      <c r="A174" s="436"/>
      <c r="B174" s="436"/>
      <c r="C174" s="436"/>
      <c r="D174" s="436"/>
      <c r="E174" s="436"/>
      <c r="F174" s="436"/>
      <c r="G174" s="437" t="s">
        <v>86</v>
      </c>
      <c r="H174" s="466">
        <f>SUM(G172:G173)</f>
        <v>2375</v>
      </c>
    </row>
    <row r="175" spans="1:8" ht="13.5" thickBot="1">
      <c r="A175" s="450" t="s">
        <v>96</v>
      </c>
      <c r="B175" s="450"/>
      <c r="C175" s="436"/>
      <c r="D175" s="436"/>
      <c r="E175" s="436"/>
      <c r="F175" s="436"/>
      <c r="G175" s="436"/>
      <c r="H175" s="436"/>
    </row>
    <row r="176" spans="1:8">
      <c r="A176" s="476" t="s">
        <v>97</v>
      </c>
      <c r="B176" s="438"/>
      <c r="C176" s="438" t="s">
        <v>98</v>
      </c>
      <c r="D176" s="438" t="s">
        <v>99</v>
      </c>
      <c r="E176" s="442" t="s">
        <v>100</v>
      </c>
      <c r="F176" s="443" t="s">
        <v>83</v>
      </c>
      <c r="G176" s="444" t="s">
        <v>84</v>
      </c>
      <c r="H176" s="477"/>
    </row>
    <row r="177" spans="1:8">
      <c r="A177" s="478" t="s">
        <v>227</v>
      </c>
      <c r="B177" s="468"/>
      <c r="C177" s="479">
        <f>PERSONAL!$E$31</f>
        <v>48800</v>
      </c>
      <c r="D177" s="480">
        <f>PERSONAL!$F$31</f>
        <v>1.7431000000000001</v>
      </c>
      <c r="E177" s="440">
        <f>+D177*C177</f>
        <v>85063.28</v>
      </c>
      <c r="F177" s="440">
        <v>25</v>
      </c>
      <c r="G177" s="445">
        <f>ROUND(E177/F177,0)</f>
        <v>3403</v>
      </c>
      <c r="H177" s="451"/>
    </row>
    <row r="178" spans="1:8">
      <c r="A178" s="478" t="s">
        <v>101</v>
      </c>
      <c r="B178" s="467"/>
      <c r="C178" s="479">
        <f>PERSONAL!$E$32</f>
        <v>87200</v>
      </c>
      <c r="D178" s="480">
        <f>PERSONAL!$F$31</f>
        <v>1.7431000000000001</v>
      </c>
      <c r="E178" s="440">
        <f>+D178*C178</f>
        <v>151998.32</v>
      </c>
      <c r="F178" s="440">
        <f>+F177</f>
        <v>25</v>
      </c>
      <c r="G178" s="445">
        <f>ROUND(E178/F178,0)</f>
        <v>6080</v>
      </c>
      <c r="H178" s="451"/>
    </row>
    <row r="179" spans="1:8">
      <c r="A179" s="478"/>
      <c r="B179" s="468"/>
      <c r="C179" s="430"/>
      <c r="D179" s="459"/>
      <c r="E179" s="430"/>
      <c r="F179" s="440"/>
      <c r="G179" s="445"/>
      <c r="H179" s="451"/>
    </row>
    <row r="180" spans="1:8">
      <c r="A180" s="478"/>
      <c r="B180" s="468"/>
      <c r="C180" s="430"/>
      <c r="D180" s="459"/>
      <c r="E180" s="430"/>
      <c r="F180" s="440"/>
      <c r="G180" s="445"/>
      <c r="H180" s="451"/>
    </row>
    <row r="181" spans="1:8" ht="13.5" thickBot="1">
      <c r="A181" s="481"/>
      <c r="B181" s="474"/>
      <c r="C181" s="474"/>
      <c r="D181" s="474"/>
      <c r="E181" s="474"/>
      <c r="F181" s="474"/>
      <c r="G181" s="482"/>
      <c r="H181" s="482"/>
    </row>
    <row r="182" spans="1:8" ht="13.5" thickBot="1">
      <c r="A182" s="436"/>
      <c r="B182" s="436"/>
      <c r="C182" s="436"/>
      <c r="D182" s="436"/>
      <c r="E182" s="436"/>
      <c r="F182" s="436"/>
      <c r="G182" s="437" t="s">
        <v>86</v>
      </c>
      <c r="H182" s="466">
        <f>SUM(G177:G181)</f>
        <v>9483</v>
      </c>
    </row>
    <row r="183" spans="1:8" ht="13.5" thickBot="1">
      <c r="A183" s="436"/>
      <c r="B183" s="436"/>
      <c r="C183" s="436"/>
      <c r="D183" s="436"/>
      <c r="E183" s="436"/>
      <c r="F183" s="436"/>
      <c r="G183" s="483"/>
      <c r="H183" s="436"/>
    </row>
    <row r="184" spans="1:8" ht="13.5" thickBot="1">
      <c r="A184" s="436"/>
      <c r="B184" s="436"/>
      <c r="C184" s="436"/>
      <c r="D184" s="436"/>
      <c r="E184" s="484" t="s">
        <v>102</v>
      </c>
      <c r="F184" s="485"/>
      <c r="G184" s="485"/>
      <c r="H184" s="466">
        <f>H160+H169+H174+H182</f>
        <v>32823.65</v>
      </c>
    </row>
    <row r="185" spans="1:8" ht="13.5" thickBot="1">
      <c r="A185" s="450" t="s">
        <v>103</v>
      </c>
      <c r="B185" s="450"/>
      <c r="C185" s="436"/>
      <c r="D185" s="436"/>
      <c r="E185" s="436"/>
      <c r="F185" s="436"/>
      <c r="G185" s="436"/>
      <c r="H185" s="436"/>
    </row>
    <row r="186" spans="1:8">
      <c r="A186" s="487" t="s">
        <v>80</v>
      </c>
      <c r="B186" s="488"/>
      <c r="C186" s="488"/>
      <c r="D186" s="488"/>
      <c r="E186" s="489"/>
      <c r="F186" s="490" t="s">
        <v>104</v>
      </c>
      <c r="G186" s="491" t="s">
        <v>105</v>
      </c>
      <c r="H186" s="457"/>
    </row>
    <row r="187" spans="1:8">
      <c r="A187" s="469" t="s">
        <v>106</v>
      </c>
      <c r="B187" s="467"/>
      <c r="C187" s="467"/>
      <c r="D187" s="467"/>
      <c r="E187" s="468"/>
      <c r="F187" s="492">
        <f>PRESUPUESTO!$E$222</f>
        <v>0.109</v>
      </c>
      <c r="G187" s="493">
        <f>+F187*H184</f>
        <v>3577.7778499999999</v>
      </c>
      <c r="H187" s="550"/>
    </row>
    <row r="188" spans="1:8">
      <c r="A188" s="469" t="s">
        <v>107</v>
      </c>
      <c r="B188" s="467"/>
      <c r="C188" s="467"/>
      <c r="D188" s="467"/>
      <c r="E188" s="468"/>
      <c r="F188" s="492">
        <f>PRESUPUESTO!$E$223</f>
        <v>0.05</v>
      </c>
      <c r="G188" s="493">
        <f>+F188*H184</f>
        <v>1641.1825000000001</v>
      </c>
      <c r="H188" s="550"/>
    </row>
    <row r="189" spans="1:8" ht="13.5" thickBot="1">
      <c r="A189" s="472" t="s">
        <v>108</v>
      </c>
      <c r="B189" s="473"/>
      <c r="C189" s="473"/>
      <c r="D189" s="473"/>
      <c r="E189" s="474"/>
      <c r="F189" s="494">
        <v>0</v>
      </c>
      <c r="G189" s="495">
        <f>+F189*H184</f>
        <v>0</v>
      </c>
      <c r="H189" s="465"/>
    </row>
    <row r="190" spans="1:8" ht="13.5" thickBot="1">
      <c r="A190" s="436"/>
      <c r="B190" s="436"/>
      <c r="C190" s="436"/>
      <c r="D190" s="436"/>
      <c r="E190" s="436"/>
      <c r="F190" s="436"/>
      <c r="G190" s="437" t="s">
        <v>86</v>
      </c>
      <c r="H190" s="496">
        <f>SUM(G187:G189)</f>
        <v>5218.9603500000003</v>
      </c>
    </row>
    <row r="191" spans="1:8" ht="13.5" thickBot="1">
      <c r="A191" s="436"/>
      <c r="B191" s="436"/>
      <c r="C191" s="436"/>
      <c r="D191" s="436"/>
      <c r="E191" s="436"/>
      <c r="F191" s="436"/>
      <c r="G191" s="436"/>
      <c r="H191" s="436"/>
    </row>
    <row r="192" spans="1:8" ht="13.5" thickBot="1">
      <c r="C192" s="436"/>
      <c r="D192" s="484" t="s">
        <v>109</v>
      </c>
      <c r="E192" s="485"/>
      <c r="F192" s="485"/>
      <c r="G192" s="485"/>
      <c r="H192" s="466">
        <f>ROUND((H184+H190),0)</f>
        <v>38043</v>
      </c>
    </row>
  </sheetData>
  <mergeCells count="40">
    <mergeCell ref="A173:C173"/>
    <mergeCell ref="A113:C113"/>
    <mergeCell ref="A123:C123"/>
    <mergeCell ref="A125:C125"/>
    <mergeCell ref="A148:C150"/>
    <mergeCell ref="A157:C157"/>
    <mergeCell ref="A158:C158"/>
    <mergeCell ref="A159:C159"/>
    <mergeCell ref="A162:C162"/>
    <mergeCell ref="A171:C171"/>
    <mergeCell ref="D150:H150"/>
    <mergeCell ref="A156:C156"/>
    <mergeCell ref="A99:C101"/>
    <mergeCell ref="D101:H101"/>
    <mergeCell ref="A107:C107"/>
    <mergeCell ref="A108:C108"/>
    <mergeCell ref="A109:C109"/>
    <mergeCell ref="A110:C110"/>
    <mergeCell ref="B104:F104"/>
    <mergeCell ref="B153:F153"/>
    <mergeCell ref="A76:C76"/>
    <mergeCell ref="A17:C17"/>
    <mergeCell ref="A26:C26"/>
    <mergeCell ref="A28:C28"/>
    <mergeCell ref="A51:C53"/>
    <mergeCell ref="A60:C60"/>
    <mergeCell ref="A61:C61"/>
    <mergeCell ref="A62:C62"/>
    <mergeCell ref="A65:C65"/>
    <mergeCell ref="A74:C74"/>
    <mergeCell ref="D53:H53"/>
    <mergeCell ref="A59:C59"/>
    <mergeCell ref="A3:C5"/>
    <mergeCell ref="D5:H5"/>
    <mergeCell ref="A11:C11"/>
    <mergeCell ref="A12:C12"/>
    <mergeCell ref="A13:C13"/>
    <mergeCell ref="A14:C14"/>
    <mergeCell ref="B8:F8"/>
    <mergeCell ref="B56:F56"/>
  </mergeCells>
  <hyperlinks>
    <hyperlink ref="A1" r:id="rId1" location="PRESUPUESTO!A108" xr:uid="{00000000-0004-0000-0300-000000000000}"/>
    <hyperlink ref="A49" r:id="rId2" location="PRESUPUESTO!A110" xr:uid="{00000000-0004-0000-0300-000001000000}"/>
    <hyperlink ref="A97" r:id="rId3" location="PRESUPUESTO!A111" xr:uid="{00000000-0004-0000-0300-000002000000}"/>
    <hyperlink ref="A146" r:id="rId4" location="PRESUPUESTO!A112" xr:uid="{00000000-0004-0000-0300-000003000000}"/>
  </hyperlinks>
  <printOptions horizontalCentered="1" verticalCentered="1"/>
  <pageMargins left="1.1811023622047245" right="0.39370078740157483" top="0.19685039370078741" bottom="1.1811023622047245" header="0" footer="0"/>
  <pageSetup scale="95" orientation="portrait" r:id="rId5"/>
  <headerFooter alignWithMargins="0"/>
  <rowBreaks count="3" manualBreakCount="3">
    <brk id="48" max="16383" man="1"/>
    <brk id="96" max="7" man="1"/>
    <brk id="145"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CE1BE-D6C9-45DC-8DD2-2B8BE0E6686A}">
  <dimension ref="A1:I95"/>
  <sheetViews>
    <sheetView view="pageBreakPreview" topLeftCell="A46" zoomScale="130" zoomScaleNormal="100" zoomScaleSheetLayoutView="130" workbookViewId="0">
      <selection activeCell="I175" sqref="I175"/>
    </sheetView>
  </sheetViews>
  <sheetFormatPr baseColWidth="10" defaultRowHeight="15"/>
  <cols>
    <col min="9" max="9" width="13.28515625" bestFit="1" customWidth="1"/>
  </cols>
  <sheetData>
    <row r="1" spans="1:8">
      <c r="A1" s="186" t="s">
        <v>77</v>
      </c>
      <c r="B1" s="446"/>
      <c r="C1" s="446"/>
      <c r="D1" s="446"/>
      <c r="E1" s="446"/>
      <c r="F1" s="446"/>
      <c r="G1" s="446"/>
      <c r="H1" s="446"/>
    </row>
    <row r="2" spans="1:8" ht="15.75" thickBot="1">
      <c r="A2" s="446"/>
      <c r="B2" s="446"/>
      <c r="C2" s="446"/>
      <c r="D2" s="446"/>
      <c r="E2" s="446"/>
      <c r="F2" s="446"/>
      <c r="G2" s="446"/>
      <c r="H2" s="446"/>
    </row>
    <row r="3" spans="1:8">
      <c r="A3" s="1348" t="s">
        <v>213</v>
      </c>
      <c r="B3" s="1349"/>
      <c r="C3" s="1350"/>
      <c r="D3" s="448"/>
      <c r="E3" s="448"/>
      <c r="F3" s="448"/>
      <c r="G3" s="448"/>
      <c r="H3" s="449"/>
    </row>
    <row r="4" spans="1:8">
      <c r="A4" s="1351"/>
      <c r="B4" s="1352"/>
      <c r="C4" s="1353"/>
      <c r="D4" s="436"/>
      <c r="E4" s="450" t="s">
        <v>78</v>
      </c>
      <c r="F4" s="436"/>
      <c r="G4" s="436"/>
      <c r="H4" s="451"/>
    </row>
    <row r="5" spans="1:8" ht="15.75" thickBot="1">
      <c r="A5" s="1354"/>
      <c r="B5" s="1355"/>
      <c r="C5" s="1356"/>
      <c r="D5" s="1360"/>
      <c r="E5" s="1361"/>
      <c r="F5" s="1361"/>
      <c r="G5" s="1361"/>
      <c r="H5" s="1362"/>
    </row>
    <row r="6" spans="1:8">
      <c r="A6" s="455"/>
      <c r="B6" s="436"/>
      <c r="C6" s="436"/>
      <c r="D6" s="436"/>
      <c r="E6" s="436"/>
      <c r="F6" s="436"/>
      <c r="G6" s="436"/>
      <c r="H6" s="436"/>
    </row>
    <row r="7" spans="1:8" s="446" customFormat="1" ht="12.75">
      <c r="A7" s="455" t="s">
        <v>1228</v>
      </c>
      <c r="B7" s="456" t="str">
        <f>+PRESUPUESTO!$B$182</f>
        <v>APARATOS SANITARIOS Y ACCESORIOS</v>
      </c>
      <c r="C7" s="436"/>
      <c r="E7" s="456"/>
      <c r="G7" s="456" t="s">
        <v>1123</v>
      </c>
      <c r="H7" s="436" t="str">
        <f>+PRESUPUESTO!A184</f>
        <v>11.1.1</v>
      </c>
    </row>
    <row r="8" spans="1:8" s="931" customFormat="1" ht="32.450000000000003" customHeight="1">
      <c r="A8" s="928" t="s">
        <v>1122</v>
      </c>
      <c r="B8" s="1375" t="str">
        <f>VLOOKUP(H7,PRESUPUESTO!$A$18:$F$251,2,FALSE)</f>
        <v>Suministro e instalación de griferia grival para lavaplatos nepal Sencilla. Para mesones en acero inoxidable de locales comerciales.</v>
      </c>
      <c r="C8" s="1375"/>
      <c r="D8" s="1375"/>
      <c r="E8" s="1375"/>
      <c r="F8" s="1375"/>
      <c r="G8" s="929" t="s">
        <v>9</v>
      </c>
      <c r="H8" s="1024" t="str">
        <f>VLOOKUP(H7,PRESUPUESTO!$A$18:$F$251,3,FALSE)</f>
        <v>un</v>
      </c>
    </row>
    <row r="9" spans="1:8">
      <c r="A9" s="456"/>
      <c r="B9" s="456"/>
      <c r="C9" s="436"/>
      <c r="D9" s="456"/>
      <c r="E9" s="456"/>
      <c r="F9" s="456"/>
      <c r="G9" s="456"/>
      <c r="H9" s="436"/>
    </row>
    <row r="10" spans="1:8" ht="15.75" thickBot="1">
      <c r="A10" s="450" t="s">
        <v>79</v>
      </c>
      <c r="B10" s="450"/>
      <c r="C10" s="436"/>
      <c r="D10" s="436"/>
      <c r="E10" s="436"/>
      <c r="F10" s="436"/>
      <c r="G10" s="436"/>
      <c r="H10" s="436"/>
    </row>
    <row r="11" spans="1:8">
      <c r="A11" s="1345" t="s">
        <v>80</v>
      </c>
      <c r="B11" s="1346"/>
      <c r="C11" s="1347"/>
      <c r="D11" s="438" t="s">
        <v>81</v>
      </c>
      <c r="E11" s="438" t="s">
        <v>82</v>
      </c>
      <c r="F11" s="438" t="s">
        <v>83</v>
      </c>
      <c r="G11" s="439" t="s">
        <v>84</v>
      </c>
      <c r="H11" s="457"/>
    </row>
    <row r="12" spans="1:8">
      <c r="A12" s="1357" t="s">
        <v>85</v>
      </c>
      <c r="B12" s="1358"/>
      <c r="C12" s="1359"/>
      <c r="D12" s="459"/>
      <c r="E12" s="440"/>
      <c r="F12" s="440"/>
      <c r="G12" s="432">
        <f>ROUND(H37*0.05,0)</f>
        <v>1976</v>
      </c>
      <c r="H12" s="460"/>
    </row>
    <row r="13" spans="1:8">
      <c r="A13" s="1357"/>
      <c r="B13" s="1358"/>
      <c r="C13" s="1359"/>
      <c r="D13" s="461"/>
      <c r="E13" s="462"/>
      <c r="F13" s="497"/>
      <c r="G13" s="432">
        <f>E13*F13</f>
        <v>0</v>
      </c>
      <c r="H13" s="460"/>
    </row>
    <row r="14" spans="1:8" ht="15.75" thickBot="1">
      <c r="A14" s="1342"/>
      <c r="B14" s="1343"/>
      <c r="C14" s="1344"/>
      <c r="D14" s="464"/>
      <c r="E14" s="433"/>
      <c r="F14" s="434"/>
      <c r="G14" s="441">
        <f>E14*F14</f>
        <v>0</v>
      </c>
      <c r="H14" s="465"/>
    </row>
    <row r="15" spans="1:8" ht="15.75" thickBot="1">
      <c r="A15" s="436"/>
      <c r="B15" s="436"/>
      <c r="C15" s="436"/>
      <c r="D15" s="436"/>
      <c r="E15" s="436"/>
      <c r="F15" s="436"/>
      <c r="G15" s="437" t="s">
        <v>86</v>
      </c>
      <c r="H15" s="466">
        <f>SUM(G12:G14)</f>
        <v>1976</v>
      </c>
    </row>
    <row r="16" spans="1:8" ht="15.75" thickBot="1">
      <c r="A16" s="450" t="s">
        <v>87</v>
      </c>
      <c r="B16" s="450"/>
      <c r="C16" s="436"/>
      <c r="D16" s="436"/>
      <c r="E16" s="436"/>
      <c r="F16" s="436"/>
      <c r="G16" s="436"/>
      <c r="H16" s="436"/>
    </row>
    <row r="17" spans="1:8">
      <c r="A17" s="1345" t="s">
        <v>80</v>
      </c>
      <c r="B17" s="1346"/>
      <c r="C17" s="1347"/>
      <c r="D17" s="438" t="s">
        <v>88</v>
      </c>
      <c r="E17" s="438" t="s">
        <v>89</v>
      </c>
      <c r="F17" s="438" t="s">
        <v>90</v>
      </c>
      <c r="G17" s="439" t="s">
        <v>84</v>
      </c>
      <c r="H17" s="457"/>
    </row>
    <row r="18" spans="1:8">
      <c r="A18" s="458" t="s">
        <v>360</v>
      </c>
      <c r="B18" s="467"/>
      <c r="C18" s="468"/>
      <c r="D18" s="459" t="s">
        <v>268</v>
      </c>
      <c r="E18" s="430">
        <v>89900</v>
      </c>
      <c r="F18" s="440">
        <v>1</v>
      </c>
      <c r="G18" s="432">
        <f>E18*F18</f>
        <v>89900</v>
      </c>
      <c r="H18" s="460"/>
    </row>
    <row r="19" spans="1:8">
      <c r="A19" s="469"/>
      <c r="B19" s="467"/>
      <c r="C19" s="468"/>
      <c r="D19" s="459"/>
      <c r="E19" s="470"/>
      <c r="F19" s="440"/>
      <c r="G19" s="432">
        <f>F19*E19</f>
        <v>0</v>
      </c>
      <c r="H19" s="460"/>
    </row>
    <row r="20" spans="1:8">
      <c r="A20" s="469" t="s">
        <v>93</v>
      </c>
      <c r="B20" s="467"/>
      <c r="C20" s="471">
        <v>0.05</v>
      </c>
      <c r="D20" s="459"/>
      <c r="F20" s="431"/>
      <c r="G20" s="432">
        <f>SUM(G17:G19)*C20</f>
        <v>4495</v>
      </c>
      <c r="H20" s="460"/>
    </row>
    <row r="21" spans="1:8">
      <c r="A21" s="469"/>
      <c r="B21" s="467"/>
      <c r="C21" s="468"/>
      <c r="D21" s="459"/>
      <c r="E21" s="430"/>
      <c r="F21" s="431"/>
      <c r="G21" s="432"/>
      <c r="H21" s="460"/>
    </row>
    <row r="22" spans="1:8">
      <c r="A22" s="469"/>
      <c r="B22" s="467"/>
      <c r="C22" s="468"/>
      <c r="D22" s="459"/>
      <c r="E22" s="430"/>
      <c r="F22" s="431"/>
      <c r="G22" s="432"/>
      <c r="H22" s="460"/>
    </row>
    <row r="23" spans="1:8" ht="15.75" thickBot="1">
      <c r="A23" s="472"/>
      <c r="B23" s="473"/>
      <c r="C23" s="474"/>
      <c r="D23" s="464"/>
      <c r="E23" s="433"/>
      <c r="F23" s="434"/>
      <c r="G23" s="435"/>
      <c r="H23" s="465"/>
    </row>
    <row r="24" spans="1:8" ht="15.75" thickBot="1">
      <c r="A24" s="436"/>
      <c r="B24" s="436"/>
      <c r="C24" s="436"/>
      <c r="D24" s="436"/>
      <c r="E24" s="436"/>
      <c r="F24" s="436"/>
      <c r="G24" s="437" t="s">
        <v>86</v>
      </c>
      <c r="H24" s="466">
        <f>SUM(G18:G23)</f>
        <v>94395</v>
      </c>
    </row>
    <row r="25" spans="1:8" ht="15.75" thickBot="1">
      <c r="A25" s="450" t="s">
        <v>94</v>
      </c>
      <c r="B25" s="450"/>
      <c r="C25" s="436"/>
      <c r="D25" s="436"/>
      <c r="E25" s="436"/>
      <c r="F25" s="436"/>
      <c r="G25" s="436"/>
      <c r="H25" s="436"/>
    </row>
    <row r="26" spans="1:8">
      <c r="A26" s="1345" t="s">
        <v>95</v>
      </c>
      <c r="B26" s="1346"/>
      <c r="C26" s="1347"/>
      <c r="D26" s="438" t="s">
        <v>88</v>
      </c>
      <c r="E26" s="438" t="s">
        <v>89</v>
      </c>
      <c r="F26" s="438" t="s">
        <v>90</v>
      </c>
      <c r="G26" s="439" t="s">
        <v>84</v>
      </c>
      <c r="H26" s="457"/>
    </row>
    <row r="27" spans="1:8">
      <c r="A27" s="458" t="s">
        <v>235</v>
      </c>
      <c r="B27" s="467"/>
      <c r="C27" s="468"/>
      <c r="D27" s="459" t="s">
        <v>268</v>
      </c>
      <c r="E27" s="430">
        <v>100</v>
      </c>
      <c r="F27" s="440">
        <v>1</v>
      </c>
      <c r="G27" s="432">
        <f>E27*F27</f>
        <v>100</v>
      </c>
      <c r="H27" s="460"/>
    </row>
    <row r="28" spans="1:8" ht="15.75" thickBot="1">
      <c r="A28" s="1342" t="s">
        <v>139</v>
      </c>
      <c r="B28" s="1343"/>
      <c r="C28" s="1344"/>
      <c r="D28" s="475" t="s">
        <v>268</v>
      </c>
      <c r="E28" s="433">
        <v>3000</v>
      </c>
      <c r="F28" s="434">
        <v>1</v>
      </c>
      <c r="G28" s="441">
        <f>E28*F28</f>
        <v>3000</v>
      </c>
      <c r="H28" s="460"/>
    </row>
    <row r="29" spans="1:8" ht="15.75" thickBot="1">
      <c r="A29" s="436"/>
      <c r="B29" s="436"/>
      <c r="C29" s="436"/>
      <c r="D29" s="436"/>
      <c r="E29" s="436"/>
      <c r="F29" s="436"/>
      <c r="G29" s="437" t="s">
        <v>86</v>
      </c>
      <c r="H29" s="466">
        <f>SUM(G27:G28)</f>
        <v>3100</v>
      </c>
    </row>
    <row r="30" spans="1:8" ht="15.75" thickBot="1">
      <c r="A30" s="450" t="s">
        <v>96</v>
      </c>
      <c r="B30" s="450"/>
      <c r="C30" s="436"/>
      <c r="D30" s="436"/>
      <c r="E30" s="436"/>
      <c r="F30" s="436"/>
      <c r="G30" s="436"/>
      <c r="H30" s="436"/>
    </row>
    <row r="31" spans="1:8">
      <c r="A31" s="476" t="s">
        <v>97</v>
      </c>
      <c r="B31" s="438"/>
      <c r="C31" s="438" t="s">
        <v>98</v>
      </c>
      <c r="D31" s="438" t="s">
        <v>99</v>
      </c>
      <c r="E31" s="442" t="s">
        <v>100</v>
      </c>
      <c r="F31" s="443" t="s">
        <v>83</v>
      </c>
      <c r="G31" s="444" t="s">
        <v>84</v>
      </c>
      <c r="H31" s="477"/>
    </row>
    <row r="32" spans="1:8">
      <c r="A32" s="478" t="s">
        <v>227</v>
      </c>
      <c r="B32" s="468"/>
      <c r="C32" s="479">
        <f>PERSONAL!$E$31</f>
        <v>48800</v>
      </c>
      <c r="D32" s="480">
        <f>PERSONAL!$F$31</f>
        <v>1.7431000000000001</v>
      </c>
      <c r="E32" s="440">
        <f>+D32*C32</f>
        <v>85063.28</v>
      </c>
      <c r="F32" s="440">
        <v>6</v>
      </c>
      <c r="G32" s="445">
        <f>ROUND(E32/F32,0)</f>
        <v>14177</v>
      </c>
      <c r="H32" s="451"/>
    </row>
    <row r="33" spans="1:8">
      <c r="A33" s="478" t="s">
        <v>101</v>
      </c>
      <c r="B33" s="467"/>
      <c r="C33" s="479">
        <f>PERSONAL!$E$32</f>
        <v>87200</v>
      </c>
      <c r="D33" s="480">
        <f>PERSONAL!$F$31</f>
        <v>1.7431000000000001</v>
      </c>
      <c r="E33" s="440">
        <f>+D33*C33</f>
        <v>151998.32</v>
      </c>
      <c r="F33" s="440">
        <v>6</v>
      </c>
      <c r="G33" s="445">
        <f>ROUND(E33/F33,0)</f>
        <v>25333</v>
      </c>
      <c r="H33" s="451"/>
    </row>
    <row r="34" spans="1:8">
      <c r="A34" s="478"/>
      <c r="B34" s="468"/>
      <c r="C34" s="430"/>
      <c r="D34" s="459"/>
      <c r="E34" s="430"/>
      <c r="F34" s="440"/>
      <c r="G34" s="445"/>
      <c r="H34" s="451"/>
    </row>
    <row r="35" spans="1:8">
      <c r="A35" s="478"/>
      <c r="B35" s="468"/>
      <c r="C35" s="430"/>
      <c r="D35" s="459"/>
      <c r="E35" s="430"/>
      <c r="F35" s="440"/>
      <c r="G35" s="445"/>
      <c r="H35" s="451"/>
    </row>
    <row r="36" spans="1:8" ht="15.75" thickBot="1">
      <c r="A36" s="481"/>
      <c r="B36" s="474"/>
      <c r="C36" s="474"/>
      <c r="D36" s="474"/>
      <c r="E36" s="474"/>
      <c r="F36" s="474"/>
      <c r="G36" s="482"/>
      <c r="H36" s="482"/>
    </row>
    <row r="37" spans="1:8" ht="15.75" thickBot="1">
      <c r="A37" s="436"/>
      <c r="B37" s="436"/>
      <c r="C37" s="436"/>
      <c r="D37" s="436"/>
      <c r="E37" s="436"/>
      <c r="F37" s="436"/>
      <c r="G37" s="437" t="s">
        <v>86</v>
      </c>
      <c r="H37" s="466">
        <f>SUM(G32:G36)</f>
        <v>39510</v>
      </c>
    </row>
    <row r="38" spans="1:8" ht="15.75" thickBot="1">
      <c r="A38" s="436"/>
      <c r="B38" s="436"/>
      <c r="C38" s="436"/>
      <c r="D38" s="436"/>
      <c r="E38" s="436"/>
      <c r="F38" s="436"/>
      <c r="G38" s="483"/>
      <c r="H38" s="436"/>
    </row>
    <row r="39" spans="1:8" ht="15.75" thickBot="1">
      <c r="A39" s="436"/>
      <c r="B39" s="436"/>
      <c r="C39" s="436"/>
      <c r="D39" s="436"/>
      <c r="E39" s="484" t="s">
        <v>102</v>
      </c>
      <c r="F39" s="485"/>
      <c r="G39" s="485"/>
      <c r="H39" s="466">
        <f>H15+H24+H29+H37</f>
        <v>138981</v>
      </c>
    </row>
    <row r="40" spans="1:8" ht="15.75" thickBot="1">
      <c r="A40" s="450" t="s">
        <v>103</v>
      </c>
      <c r="B40" s="450"/>
      <c r="C40" s="436"/>
      <c r="D40" s="436"/>
      <c r="E40" s="436"/>
      <c r="F40" s="436"/>
      <c r="G40" s="436"/>
      <c r="H40" s="436"/>
    </row>
    <row r="41" spans="1:8">
      <c r="A41" s="487" t="s">
        <v>80</v>
      </c>
      <c r="B41" s="488"/>
      <c r="C41" s="488"/>
      <c r="D41" s="488"/>
      <c r="E41" s="489"/>
      <c r="F41" s="490" t="s">
        <v>104</v>
      </c>
      <c r="G41" s="491" t="s">
        <v>105</v>
      </c>
      <c r="H41" s="457"/>
    </row>
    <row r="42" spans="1:8">
      <c r="A42" s="469" t="s">
        <v>106</v>
      </c>
      <c r="B42" s="467"/>
      <c r="C42" s="467"/>
      <c r="D42" s="467"/>
      <c r="E42" s="468"/>
      <c r="F42" s="492">
        <f>PRESUPUESTO!$E$222</f>
        <v>0.109</v>
      </c>
      <c r="G42" s="493">
        <f>+F42*H39</f>
        <v>15148.929</v>
      </c>
      <c r="H42" s="460"/>
    </row>
    <row r="43" spans="1:8">
      <c r="A43" s="469" t="s">
        <v>107</v>
      </c>
      <c r="B43" s="467"/>
      <c r="C43" s="467"/>
      <c r="D43" s="467"/>
      <c r="E43" s="468"/>
      <c r="F43" s="492">
        <f>PRESUPUESTO!$E$223</f>
        <v>0.05</v>
      </c>
      <c r="G43" s="493">
        <f>+F43*H39</f>
        <v>6949.05</v>
      </c>
      <c r="H43" s="460"/>
    </row>
    <row r="44" spans="1:8" ht="15.75" thickBot="1">
      <c r="A44" s="472" t="s">
        <v>108</v>
      </c>
      <c r="B44" s="473"/>
      <c r="C44" s="473"/>
      <c r="D44" s="473"/>
      <c r="E44" s="474"/>
      <c r="F44" s="494">
        <v>0</v>
      </c>
      <c r="G44" s="495">
        <f>+F44*H39</f>
        <v>0</v>
      </c>
      <c r="H44" s="465"/>
    </row>
    <row r="45" spans="1:8" ht="15.75" thickBot="1">
      <c r="A45" s="436"/>
      <c r="B45" s="436"/>
      <c r="C45" s="436"/>
      <c r="D45" s="436"/>
      <c r="E45" s="436"/>
      <c r="F45" s="436"/>
      <c r="G45" s="437" t="s">
        <v>86</v>
      </c>
      <c r="H45" s="496">
        <f>SUM(G42:G44)</f>
        <v>22097.978999999999</v>
      </c>
    </row>
    <row r="46" spans="1:8" ht="15.75" thickBot="1">
      <c r="A46" s="436"/>
      <c r="B46" s="436"/>
      <c r="C46" s="436"/>
      <c r="D46" s="436"/>
      <c r="E46" s="436"/>
      <c r="F46" s="436"/>
      <c r="G46" s="436"/>
      <c r="H46" s="436"/>
    </row>
    <row r="47" spans="1:8" ht="15.75" thickBot="1">
      <c r="A47" s="446"/>
      <c r="B47" s="446"/>
      <c r="C47" s="436"/>
      <c r="D47" s="484" t="s">
        <v>109</v>
      </c>
      <c r="E47" s="485"/>
      <c r="F47" s="485"/>
      <c r="G47" s="485"/>
      <c r="H47" s="466">
        <f>ROUND((H39+H45),0)</f>
        <v>161079</v>
      </c>
    </row>
    <row r="48" spans="1:8">
      <c r="A48" s="446"/>
      <c r="B48" s="446"/>
      <c r="C48" s="446"/>
      <c r="D48" s="446"/>
      <c r="E48" s="446"/>
      <c r="F48" s="446"/>
      <c r="G48" s="446"/>
      <c r="H48" s="446"/>
    </row>
    <row r="49" spans="1:8">
      <c r="A49" s="186" t="s">
        <v>77</v>
      </c>
      <c r="B49" s="446"/>
      <c r="C49" s="446"/>
      <c r="D49" s="446"/>
      <c r="E49" s="446"/>
      <c r="F49" s="446"/>
      <c r="G49" s="446"/>
      <c r="H49" s="446"/>
    </row>
    <row r="50" spans="1:8" ht="15.75" thickBot="1">
      <c r="A50" s="446"/>
      <c r="B50" s="446"/>
      <c r="C50" s="446"/>
      <c r="D50" s="446"/>
      <c r="E50" s="446"/>
      <c r="F50" s="446"/>
      <c r="G50" s="446"/>
      <c r="H50" s="446"/>
    </row>
    <row r="51" spans="1:8">
      <c r="A51" s="1348" t="s">
        <v>213</v>
      </c>
      <c r="B51" s="1349"/>
      <c r="C51" s="1350"/>
      <c r="D51" s="448"/>
      <c r="E51" s="448"/>
      <c r="F51" s="448"/>
      <c r="G51" s="448"/>
      <c r="H51" s="449"/>
    </row>
    <row r="52" spans="1:8">
      <c r="A52" s="1351"/>
      <c r="B52" s="1352"/>
      <c r="C52" s="1353"/>
      <c r="D52" s="436"/>
      <c r="E52" s="450" t="s">
        <v>78</v>
      </c>
      <c r="F52" s="436"/>
      <c r="G52" s="436"/>
      <c r="H52" s="451"/>
    </row>
    <row r="53" spans="1:8" ht="15.75" thickBot="1">
      <c r="A53" s="1354"/>
      <c r="B53" s="1355"/>
      <c r="C53" s="1356"/>
      <c r="D53" s="1360"/>
      <c r="E53" s="1361"/>
      <c r="F53" s="1361"/>
      <c r="G53" s="1361"/>
      <c r="H53" s="1362"/>
    </row>
    <row r="54" spans="1:8">
      <c r="A54" s="455"/>
      <c r="B54" s="436"/>
      <c r="C54" s="436"/>
      <c r="D54" s="436"/>
      <c r="E54" s="436"/>
      <c r="F54" s="436"/>
      <c r="G54" s="436"/>
      <c r="H54" s="436"/>
    </row>
    <row r="55" spans="1:8" s="446" customFormat="1" ht="12.75">
      <c r="A55" s="455" t="s">
        <v>1228</v>
      </c>
      <c r="B55" s="456" t="str">
        <f>+PRESUPUESTO!$B$182</f>
        <v>APARATOS SANITARIOS Y ACCESORIOS</v>
      </c>
      <c r="C55" s="436"/>
      <c r="E55" s="456"/>
      <c r="G55" s="456" t="s">
        <v>1123</v>
      </c>
      <c r="H55" s="436" t="str">
        <f>+PRESUPUESTO!A186</f>
        <v>11.2.1</v>
      </c>
    </row>
    <row r="56" spans="1:8" s="931" customFormat="1" ht="32.450000000000003" customHeight="1">
      <c r="A56" s="928" t="s">
        <v>1122</v>
      </c>
      <c r="B56" s="1375" t="str">
        <f>VLOOKUP(H55,PRESUPUESTO!$A$18:$F$251,2,FALSE)</f>
        <v>Suministro e instalación de barra en granito verde ubatuna o negro, incluye patas laterales según detalle.</v>
      </c>
      <c r="C56" s="1375"/>
      <c r="D56" s="1375"/>
      <c r="E56" s="1375"/>
      <c r="F56" s="1375"/>
      <c r="G56" s="929" t="s">
        <v>9</v>
      </c>
      <c r="H56" s="1024" t="str">
        <f>VLOOKUP(H55,PRESUPUESTO!$A$18:$F$251,3,FALSE)</f>
        <v>ml</v>
      </c>
    </row>
    <row r="57" spans="1:8">
      <c r="A57" s="456"/>
      <c r="B57" s="456"/>
      <c r="C57" s="436"/>
      <c r="D57" s="456"/>
      <c r="E57" s="456"/>
      <c r="F57" s="456"/>
      <c r="G57" s="456"/>
      <c r="H57" s="436"/>
    </row>
    <row r="58" spans="1:8" ht="15.75" thickBot="1">
      <c r="A58" s="450" t="s">
        <v>79</v>
      </c>
      <c r="B58" s="450"/>
      <c r="C58" s="436"/>
      <c r="D58" s="436"/>
      <c r="E58" s="436"/>
      <c r="F58" s="436"/>
      <c r="G58" s="436"/>
      <c r="H58" s="436"/>
    </row>
    <row r="59" spans="1:8">
      <c r="A59" s="1345" t="s">
        <v>80</v>
      </c>
      <c r="B59" s="1346"/>
      <c r="C59" s="1347"/>
      <c r="D59" s="438" t="s">
        <v>81</v>
      </c>
      <c r="E59" s="438" t="s">
        <v>82</v>
      </c>
      <c r="F59" s="438" t="s">
        <v>83</v>
      </c>
      <c r="G59" s="439" t="s">
        <v>84</v>
      </c>
      <c r="H59" s="457"/>
    </row>
    <row r="60" spans="1:8">
      <c r="A60" s="1357" t="s">
        <v>85</v>
      </c>
      <c r="B60" s="1358"/>
      <c r="C60" s="1359"/>
      <c r="D60" s="459"/>
      <c r="E60" s="440"/>
      <c r="F60" s="440"/>
      <c r="G60" s="432">
        <f>ROUND(H85*0.05,0)</f>
        <v>2533</v>
      </c>
      <c r="H60" s="460"/>
    </row>
    <row r="61" spans="1:8">
      <c r="A61" s="1357"/>
      <c r="B61" s="1358"/>
      <c r="C61" s="1359"/>
      <c r="D61" s="461"/>
      <c r="E61" s="462"/>
      <c r="F61" s="497"/>
      <c r="G61" s="432">
        <f>E61*F61</f>
        <v>0</v>
      </c>
      <c r="H61" s="460"/>
    </row>
    <row r="62" spans="1:8" ht="15.75" thickBot="1">
      <c r="A62" s="1342"/>
      <c r="B62" s="1343"/>
      <c r="C62" s="1344"/>
      <c r="D62" s="464"/>
      <c r="E62" s="433"/>
      <c r="F62" s="434"/>
      <c r="G62" s="441">
        <f>E62*F62</f>
        <v>0</v>
      </c>
      <c r="H62" s="465"/>
    </row>
    <row r="63" spans="1:8" ht="15.75" thickBot="1">
      <c r="A63" s="436"/>
      <c r="B63" s="436"/>
      <c r="C63" s="436"/>
      <c r="D63" s="436"/>
      <c r="E63" s="436"/>
      <c r="F63" s="436"/>
      <c r="G63" s="437" t="s">
        <v>86</v>
      </c>
      <c r="H63" s="466">
        <f>SUM(G60:G62)</f>
        <v>2533</v>
      </c>
    </row>
    <row r="64" spans="1:8" ht="15.75" thickBot="1">
      <c r="A64" s="450" t="s">
        <v>87</v>
      </c>
      <c r="B64" s="450"/>
      <c r="C64" s="436"/>
      <c r="D64" s="436"/>
      <c r="E64" s="436"/>
      <c r="F64" s="436"/>
      <c r="G64" s="436"/>
      <c r="H64" s="436"/>
    </row>
    <row r="65" spans="1:8">
      <c r="A65" s="1345" t="s">
        <v>80</v>
      </c>
      <c r="B65" s="1346"/>
      <c r="C65" s="1347"/>
      <c r="D65" s="438" t="s">
        <v>88</v>
      </c>
      <c r="E65" s="438" t="s">
        <v>89</v>
      </c>
      <c r="F65" s="438" t="s">
        <v>90</v>
      </c>
      <c r="G65" s="439" t="s">
        <v>84</v>
      </c>
      <c r="H65" s="457"/>
    </row>
    <row r="66" spans="1:8">
      <c r="A66" s="458" t="s">
        <v>605</v>
      </c>
      <c r="B66" s="467"/>
      <c r="C66" s="468"/>
      <c r="D66" s="459" t="s">
        <v>271</v>
      </c>
      <c r="E66" s="430">
        <v>620000</v>
      </c>
      <c r="F66" s="440">
        <v>1</v>
      </c>
      <c r="G66" s="432">
        <f>E66*F66</f>
        <v>620000</v>
      </c>
      <c r="H66" s="460"/>
    </row>
    <row r="67" spans="1:8">
      <c r="A67" s="469"/>
      <c r="B67" s="467"/>
      <c r="C67" s="468"/>
      <c r="D67" s="459"/>
      <c r="E67" s="440"/>
      <c r="F67" s="470"/>
      <c r="G67" s="432">
        <f>E67*F67</f>
        <v>0</v>
      </c>
      <c r="H67" s="460"/>
    </row>
    <row r="68" spans="1:8">
      <c r="A68" s="469" t="s">
        <v>93</v>
      </c>
      <c r="B68" s="467"/>
      <c r="C68" s="471">
        <v>0.05</v>
      </c>
      <c r="D68" s="459"/>
      <c r="E68" s="430"/>
      <c r="F68" s="431"/>
      <c r="G68" s="432">
        <f>SUM(G65:G67)*C68</f>
        <v>31000</v>
      </c>
      <c r="H68" s="460"/>
    </row>
    <row r="69" spans="1:8">
      <c r="A69" s="469"/>
      <c r="B69" s="467"/>
      <c r="C69" s="468"/>
      <c r="D69" s="459"/>
      <c r="E69" s="430"/>
      <c r="F69" s="431"/>
      <c r="G69" s="432"/>
      <c r="H69" s="460"/>
    </row>
    <row r="70" spans="1:8">
      <c r="A70" s="469"/>
      <c r="B70" s="467"/>
      <c r="C70" s="468"/>
      <c r="D70" s="459"/>
      <c r="E70" s="430"/>
      <c r="F70" s="431"/>
      <c r="G70" s="432"/>
      <c r="H70" s="460"/>
    </row>
    <row r="71" spans="1:8" ht="15.75" thickBot="1">
      <c r="A71" s="472"/>
      <c r="B71" s="473"/>
      <c r="C71" s="474"/>
      <c r="D71" s="464"/>
      <c r="E71" s="433"/>
      <c r="F71" s="434"/>
      <c r="G71" s="435"/>
      <c r="H71" s="465"/>
    </row>
    <row r="72" spans="1:8" ht="15.75" thickBot="1">
      <c r="A72" s="436"/>
      <c r="B72" s="436"/>
      <c r="C72" s="436"/>
      <c r="D72" s="436"/>
      <c r="E72" s="436"/>
      <c r="F72" s="436"/>
      <c r="G72" s="437" t="s">
        <v>86</v>
      </c>
      <c r="H72" s="466">
        <f>SUM(G66:G71)</f>
        <v>651000</v>
      </c>
    </row>
    <row r="73" spans="1:8" ht="15.75" thickBot="1">
      <c r="A73" s="450" t="s">
        <v>94</v>
      </c>
      <c r="B73" s="450"/>
      <c r="C73" s="436"/>
      <c r="D73" s="436"/>
      <c r="E73" s="436"/>
      <c r="F73" s="436"/>
      <c r="G73" s="436"/>
      <c r="H73" s="436"/>
    </row>
    <row r="74" spans="1:8">
      <c r="A74" s="1345" t="s">
        <v>95</v>
      </c>
      <c r="B74" s="1346"/>
      <c r="C74" s="1347"/>
      <c r="D74" s="438" t="s">
        <v>88</v>
      </c>
      <c r="E74" s="438" t="s">
        <v>89</v>
      </c>
      <c r="F74" s="438" t="s">
        <v>90</v>
      </c>
      <c r="G74" s="439" t="s">
        <v>84</v>
      </c>
      <c r="H74" s="457"/>
    </row>
    <row r="75" spans="1:8">
      <c r="A75" s="458" t="s">
        <v>605</v>
      </c>
      <c r="B75" s="467"/>
      <c r="C75" s="468"/>
      <c r="D75" s="459" t="s">
        <v>271</v>
      </c>
      <c r="E75" s="430">
        <v>14000</v>
      </c>
      <c r="F75" s="440">
        <v>1</v>
      </c>
      <c r="G75" s="432">
        <f>E75*F75</f>
        <v>14000</v>
      </c>
      <c r="H75" s="460"/>
    </row>
    <row r="76" spans="1:8" ht="15.75" thickBot="1">
      <c r="A76" s="1342"/>
      <c r="B76" s="1343"/>
      <c r="C76" s="1344"/>
      <c r="D76" s="475"/>
      <c r="E76" s="433"/>
      <c r="F76" s="434"/>
      <c r="G76" s="441"/>
      <c r="H76" s="460"/>
    </row>
    <row r="77" spans="1:8" ht="15.75" thickBot="1">
      <c r="A77" s="436"/>
      <c r="B77" s="436"/>
      <c r="C77" s="436"/>
      <c r="D77" s="436"/>
      <c r="E77" s="436"/>
      <c r="F77" s="436"/>
      <c r="G77" s="437" t="s">
        <v>86</v>
      </c>
      <c r="H77" s="466">
        <f>SUM(G75:G76)</f>
        <v>14000</v>
      </c>
    </row>
    <row r="78" spans="1:8" ht="15.75" thickBot="1">
      <c r="A78" s="450" t="s">
        <v>96</v>
      </c>
      <c r="B78" s="450"/>
      <c r="C78" s="436"/>
      <c r="D78" s="436"/>
      <c r="E78" s="436"/>
      <c r="F78" s="436"/>
      <c r="G78" s="436"/>
      <c r="H78" s="436"/>
    </row>
    <row r="79" spans="1:8">
      <c r="A79" s="476" t="s">
        <v>97</v>
      </c>
      <c r="B79" s="438"/>
      <c r="C79" s="438" t="s">
        <v>98</v>
      </c>
      <c r="D79" s="438" t="s">
        <v>99</v>
      </c>
      <c r="E79" s="442" t="s">
        <v>100</v>
      </c>
      <c r="F79" s="443" t="s">
        <v>83</v>
      </c>
      <c r="G79" s="444" t="s">
        <v>84</v>
      </c>
      <c r="H79" s="477"/>
    </row>
    <row r="80" spans="1:8">
      <c r="A80" s="478" t="s">
        <v>101</v>
      </c>
      <c r="B80" s="467"/>
      <c r="C80" s="479">
        <f>PERSONAL!$E$32</f>
        <v>87200</v>
      </c>
      <c r="D80" s="480">
        <f>PERSONAL!$F$31</f>
        <v>1.7431000000000001</v>
      </c>
      <c r="E80" s="440">
        <f>+D80*C80</f>
        <v>151998.32</v>
      </c>
      <c r="F80" s="440">
        <v>3</v>
      </c>
      <c r="G80" s="445">
        <f>ROUND(E80/F80,0)</f>
        <v>50666</v>
      </c>
      <c r="H80" s="451"/>
    </row>
    <row r="81" spans="1:9">
      <c r="A81" s="478"/>
      <c r="B81" s="467"/>
      <c r="C81" s="479"/>
      <c r="D81" s="480"/>
      <c r="E81" s="440"/>
      <c r="F81" s="440"/>
      <c r="G81" s="445"/>
      <c r="H81" s="451"/>
    </row>
    <row r="82" spans="1:9">
      <c r="A82" s="478"/>
      <c r="B82" s="468"/>
      <c r="C82" s="430"/>
      <c r="D82" s="459"/>
      <c r="E82" s="430"/>
      <c r="F82" s="440"/>
      <c r="G82" s="445"/>
      <c r="H82" s="451"/>
    </row>
    <row r="83" spans="1:9">
      <c r="A83" s="478"/>
      <c r="B83" s="468"/>
      <c r="C83" s="430"/>
      <c r="D83" s="459"/>
      <c r="E83" s="430"/>
      <c r="F83" s="440"/>
      <c r="G83" s="445"/>
      <c r="H83" s="451"/>
    </row>
    <row r="84" spans="1:9" ht="15.75" thickBot="1">
      <c r="A84" s="481"/>
      <c r="B84" s="474"/>
      <c r="C84" s="474"/>
      <c r="D84" s="474"/>
      <c r="E84" s="474"/>
      <c r="F84" s="474"/>
      <c r="G84" s="482"/>
      <c r="H84" s="482"/>
    </row>
    <row r="85" spans="1:9" ht="15.75" thickBot="1">
      <c r="A85" s="436"/>
      <c r="B85" s="436"/>
      <c r="C85" s="436"/>
      <c r="D85" s="436"/>
      <c r="E85" s="436"/>
      <c r="F85" s="436"/>
      <c r="G85" s="437" t="s">
        <v>86</v>
      </c>
      <c r="H85" s="466">
        <f>SUM(G80:G84)</f>
        <v>50666</v>
      </c>
    </row>
    <row r="86" spans="1:9" ht="15.75" thickBot="1">
      <c r="A86" s="436"/>
      <c r="B86" s="436"/>
      <c r="C86" s="436"/>
      <c r="D86" s="436"/>
      <c r="E86" s="436"/>
      <c r="F86" s="436"/>
      <c r="G86" s="483"/>
      <c r="H86" s="436"/>
    </row>
    <row r="87" spans="1:9" ht="15.75" thickBot="1">
      <c r="A87" s="436"/>
      <c r="B87" s="436"/>
      <c r="C87" s="436"/>
      <c r="D87" s="436"/>
      <c r="E87" s="484" t="s">
        <v>102</v>
      </c>
      <c r="F87" s="485"/>
      <c r="G87" s="485"/>
      <c r="H87" s="466">
        <f>H63+H72+H77+H85</f>
        <v>718199</v>
      </c>
      <c r="I87" s="557"/>
    </row>
    <row r="88" spans="1:9" ht="15.75" thickBot="1">
      <c r="A88" s="450" t="s">
        <v>103</v>
      </c>
      <c r="B88" s="450"/>
      <c r="C88" s="436"/>
      <c r="D88" s="436"/>
      <c r="E88" s="436"/>
      <c r="F88" s="436"/>
      <c r="G88" s="436"/>
      <c r="H88" s="436"/>
    </row>
    <row r="89" spans="1:9">
      <c r="A89" s="487" t="s">
        <v>80</v>
      </c>
      <c r="B89" s="488"/>
      <c r="C89" s="488"/>
      <c r="D89" s="488"/>
      <c r="E89" s="489"/>
      <c r="F89" s="490" t="s">
        <v>104</v>
      </c>
      <c r="G89" s="491" t="s">
        <v>105</v>
      </c>
      <c r="H89" s="457"/>
    </row>
    <row r="90" spans="1:9">
      <c r="A90" s="469" t="s">
        <v>106</v>
      </c>
      <c r="B90" s="467"/>
      <c r="C90" s="467"/>
      <c r="D90" s="467"/>
      <c r="E90" s="468"/>
      <c r="F90" s="492">
        <v>0.15305129580815788</v>
      </c>
      <c r="G90" s="493">
        <f>+F90*H87</f>
        <v>109921.28759812318</v>
      </c>
      <c r="H90" s="460"/>
    </row>
    <row r="91" spans="1:9">
      <c r="A91" s="469" t="s">
        <v>107</v>
      </c>
      <c r="B91" s="467"/>
      <c r="C91" s="467"/>
      <c r="D91" s="467"/>
      <c r="E91" s="468"/>
      <c r="F91" s="492">
        <f>PRESUPUESTO!$E$223</f>
        <v>0.05</v>
      </c>
      <c r="G91" s="493">
        <f>+F91*H87</f>
        <v>35909.950000000004</v>
      </c>
      <c r="H91" s="460"/>
    </row>
    <row r="92" spans="1:9" ht="15.75" thickBot="1">
      <c r="A92" s="472" t="s">
        <v>108</v>
      </c>
      <c r="B92" s="473"/>
      <c r="C92" s="473"/>
      <c r="D92" s="473"/>
      <c r="E92" s="474"/>
      <c r="F92" s="494">
        <v>0</v>
      </c>
      <c r="G92" s="495">
        <f>+F92*H87</f>
        <v>0</v>
      </c>
      <c r="H92" s="465"/>
    </row>
    <row r="93" spans="1:9" ht="15.75" thickBot="1">
      <c r="A93" s="436"/>
      <c r="B93" s="436"/>
      <c r="C93" s="436"/>
      <c r="D93" s="436"/>
      <c r="E93" s="436"/>
      <c r="F93" s="436"/>
      <c r="G93" s="437" t="s">
        <v>86</v>
      </c>
      <c r="H93" s="496">
        <f>SUM(G90:G92)</f>
        <v>145831.23759812317</v>
      </c>
    </row>
    <row r="94" spans="1:9" ht="15.75" thickBot="1">
      <c r="A94" s="436"/>
      <c r="B94" s="436"/>
      <c r="C94" s="436"/>
      <c r="D94" s="436"/>
      <c r="E94" s="436"/>
      <c r="F94" s="436"/>
      <c r="G94" s="436"/>
      <c r="H94" s="436"/>
    </row>
    <row r="95" spans="1:9" ht="15.75" thickBot="1">
      <c r="A95" s="446"/>
      <c r="B95" s="446"/>
      <c r="C95" s="436"/>
      <c r="D95" s="484" t="s">
        <v>109</v>
      </c>
      <c r="E95" s="485"/>
      <c r="F95" s="485"/>
      <c r="G95" s="485"/>
      <c r="H95" s="466">
        <f>ROUND((H87+H93),0)</f>
        <v>864030</v>
      </c>
    </row>
  </sheetData>
  <mergeCells count="20">
    <mergeCell ref="A76:C76"/>
    <mergeCell ref="A17:C17"/>
    <mergeCell ref="A26:C26"/>
    <mergeCell ref="A28:C28"/>
    <mergeCell ref="A51:C53"/>
    <mergeCell ref="A60:C60"/>
    <mergeCell ref="A61:C61"/>
    <mergeCell ref="A62:C62"/>
    <mergeCell ref="A65:C65"/>
    <mergeCell ref="A74:C74"/>
    <mergeCell ref="D53:H53"/>
    <mergeCell ref="A59:C59"/>
    <mergeCell ref="A3:C5"/>
    <mergeCell ref="D5:H5"/>
    <mergeCell ref="A11:C11"/>
    <mergeCell ref="A12:C12"/>
    <mergeCell ref="A13:C13"/>
    <mergeCell ref="A14:C14"/>
    <mergeCell ref="B8:F8"/>
    <mergeCell ref="B56:F56"/>
  </mergeCells>
  <hyperlinks>
    <hyperlink ref="A1" r:id="rId1" location="PRESUPUESTO!A1" xr:uid="{B2CD9D28-0ED1-4189-A4A1-5CF31DAF5702}"/>
    <hyperlink ref="A49" r:id="rId2" location="PRESUPUESTO!A1" xr:uid="{662EA588-AF8B-4FC4-8D7A-BE908F0874C6}"/>
  </hyperlinks>
  <pageMargins left="0.7" right="0.7" top="0.75" bottom="0.75" header="0.3" footer="0.3"/>
  <pageSetup scale="95" orientation="portrait" r:id="rId3"/>
  <rowBreaks count="1" manualBreakCount="1">
    <brk id="48"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6A6BA-0B2A-4465-A1DE-55A9091E686E}">
  <dimension ref="A1:H60"/>
  <sheetViews>
    <sheetView view="pageBreakPreview" zoomScale="115" zoomScaleNormal="100" zoomScaleSheetLayoutView="115" workbookViewId="0">
      <selection activeCell="H53" sqref="H53"/>
    </sheetView>
  </sheetViews>
  <sheetFormatPr baseColWidth="10" defaultRowHeight="15"/>
  <cols>
    <col min="2" max="2" width="38.140625" customWidth="1"/>
    <col min="5" max="5" width="13.7109375" customWidth="1"/>
    <col min="6" max="6" width="15.7109375" customWidth="1"/>
  </cols>
  <sheetData>
    <row r="1" spans="1:8">
      <c r="A1" s="186" t="s">
        <v>77</v>
      </c>
      <c r="B1" s="446"/>
      <c r="C1" s="446"/>
      <c r="D1" s="446"/>
      <c r="E1" s="446"/>
      <c r="F1" s="446"/>
      <c r="G1" s="446"/>
      <c r="H1" s="446"/>
    </row>
    <row r="2" spans="1:8" ht="15.75" thickBot="1">
      <c r="A2" s="446"/>
      <c r="B2" s="446"/>
      <c r="C2" s="446"/>
      <c r="D2" s="446"/>
      <c r="E2" s="446"/>
      <c r="F2" s="446"/>
      <c r="G2" s="446"/>
      <c r="H2" s="446"/>
    </row>
    <row r="3" spans="1:8">
      <c r="A3" s="1348" t="s">
        <v>213</v>
      </c>
      <c r="B3" s="1349"/>
      <c r="C3" s="1350"/>
      <c r="D3" s="448"/>
      <c r="E3" s="448"/>
      <c r="F3" s="448"/>
      <c r="G3" s="448"/>
      <c r="H3" s="449"/>
    </row>
    <row r="4" spans="1:8">
      <c r="A4" s="1351"/>
      <c r="B4" s="1352"/>
      <c r="C4" s="1353"/>
      <c r="D4" s="436"/>
      <c r="E4" s="450" t="s">
        <v>78</v>
      </c>
      <c r="F4" s="436"/>
      <c r="G4" s="436"/>
      <c r="H4" s="451"/>
    </row>
    <row r="5" spans="1:8" ht="15.75" thickBot="1">
      <c r="A5" s="1354"/>
      <c r="B5" s="1355"/>
      <c r="C5" s="1356"/>
      <c r="D5" s="1360"/>
      <c r="E5" s="1361"/>
      <c r="F5" s="1361"/>
      <c r="G5" s="1361"/>
      <c r="H5" s="1362"/>
    </row>
    <row r="6" spans="1:8">
      <c r="A6" s="455"/>
      <c r="B6" s="436"/>
      <c r="C6" s="436"/>
      <c r="D6" s="436"/>
      <c r="E6" s="436"/>
      <c r="F6" s="436"/>
      <c r="G6" s="436"/>
      <c r="H6" s="436"/>
    </row>
    <row r="7" spans="1:8" s="446" customFormat="1" ht="12.75">
      <c r="A7" s="455" t="s">
        <v>1228</v>
      </c>
      <c r="B7" s="456" t="str">
        <f>+PRESUPUESTO!$B$189</f>
        <v>OBRAS EXTERIORES</v>
      </c>
      <c r="C7" s="436"/>
      <c r="E7" s="456"/>
      <c r="G7" s="456" t="s">
        <v>1123</v>
      </c>
      <c r="H7" s="436" t="str">
        <f>+PRESUPUESTO!$A$191</f>
        <v>12.1.1</v>
      </c>
    </row>
    <row r="8" spans="1:8" s="931" customFormat="1" ht="32.450000000000003" customHeight="1">
      <c r="A8" s="928" t="s">
        <v>1122</v>
      </c>
      <c r="B8" s="1375" t="str">
        <f>VLOOKUP(H7,PRESUPUESTO!$A$18:$F$251,2,FALSE)</f>
        <v>Suministro e instalación de jardineria</v>
      </c>
      <c r="C8" s="1375"/>
      <c r="D8" s="1375"/>
      <c r="E8" s="1375"/>
      <c r="F8" s="1375"/>
      <c r="G8" s="929" t="s">
        <v>9</v>
      </c>
      <c r="H8" s="1024" t="str">
        <f>VLOOKUP(H7,PRESUPUESTO!$A$18:$F$251,3,FALSE)</f>
        <v>m2</v>
      </c>
    </row>
    <row r="9" spans="1:8">
      <c r="A9" s="456"/>
      <c r="B9" s="456"/>
      <c r="C9" s="436"/>
      <c r="D9" s="456"/>
      <c r="E9" s="456"/>
      <c r="F9" s="456"/>
      <c r="G9" s="456"/>
      <c r="H9" s="436"/>
    </row>
    <row r="10" spans="1:8" ht="15.75" thickBot="1">
      <c r="A10" s="450" t="s">
        <v>79</v>
      </c>
      <c r="B10" s="450"/>
      <c r="C10" s="436"/>
      <c r="D10" s="436"/>
      <c r="E10" s="436"/>
      <c r="F10" s="436"/>
      <c r="G10" s="436"/>
      <c r="H10" s="436"/>
    </row>
    <row r="11" spans="1:8">
      <c r="A11" s="1345" t="s">
        <v>80</v>
      </c>
      <c r="B11" s="1346"/>
      <c r="C11" s="1347"/>
      <c r="D11" s="438" t="s">
        <v>81</v>
      </c>
      <c r="E11" s="438" t="s">
        <v>82</v>
      </c>
      <c r="F11" s="438" t="s">
        <v>83</v>
      </c>
      <c r="G11" s="439" t="s">
        <v>84</v>
      </c>
      <c r="H11" s="457"/>
    </row>
    <row r="12" spans="1:8">
      <c r="A12" s="1357" t="s">
        <v>85</v>
      </c>
      <c r="B12" s="1358"/>
      <c r="C12" s="1359"/>
      <c r="D12" s="459"/>
      <c r="E12" s="440"/>
      <c r="F12" s="440"/>
      <c r="G12" s="432">
        <f>ROUND(H37*0.05,0)</f>
        <v>697</v>
      </c>
      <c r="H12" s="460"/>
    </row>
    <row r="13" spans="1:8">
      <c r="A13" s="1357"/>
      <c r="B13" s="1358"/>
      <c r="C13" s="1359"/>
      <c r="D13" s="461"/>
      <c r="E13" s="462"/>
      <c r="F13" s="497"/>
      <c r="G13" s="432">
        <f>E13*F13</f>
        <v>0</v>
      </c>
      <c r="H13" s="460"/>
    </row>
    <row r="14" spans="1:8" ht="15.75" thickBot="1">
      <c r="A14" s="1342"/>
      <c r="B14" s="1343"/>
      <c r="C14" s="1344"/>
      <c r="D14" s="464"/>
      <c r="E14" s="433"/>
      <c r="F14" s="434"/>
      <c r="G14" s="441">
        <f>E14*F14</f>
        <v>0</v>
      </c>
      <c r="H14" s="465"/>
    </row>
    <row r="15" spans="1:8" ht="15.75" thickBot="1">
      <c r="A15" s="436"/>
      <c r="B15" s="436"/>
      <c r="C15" s="436"/>
      <c r="D15" s="436"/>
      <c r="E15" s="436"/>
      <c r="F15" s="436"/>
      <c r="G15" s="437" t="s">
        <v>86</v>
      </c>
      <c r="H15" s="466">
        <f>SUM(G12:G14)</f>
        <v>697</v>
      </c>
    </row>
    <row r="16" spans="1:8" ht="15.75" thickBot="1">
      <c r="A16" s="450" t="s">
        <v>87</v>
      </c>
      <c r="B16" s="450"/>
      <c r="C16" s="436"/>
      <c r="D16" s="436"/>
      <c r="E16" s="436"/>
      <c r="F16" s="436"/>
      <c r="G16" s="436"/>
      <c r="H16" s="436"/>
    </row>
    <row r="17" spans="1:8">
      <c r="A17" s="1345" t="s">
        <v>80</v>
      </c>
      <c r="B17" s="1346"/>
      <c r="C17" s="1347"/>
      <c r="D17" s="438" t="s">
        <v>88</v>
      </c>
      <c r="E17" s="438" t="s">
        <v>89</v>
      </c>
      <c r="F17" s="438" t="s">
        <v>90</v>
      </c>
      <c r="G17" s="439" t="s">
        <v>84</v>
      </c>
      <c r="H17" s="457"/>
    </row>
    <row r="18" spans="1:8">
      <c r="A18" s="458" t="s">
        <v>606</v>
      </c>
      <c r="B18" s="467"/>
      <c r="C18" s="468"/>
      <c r="D18" s="459" t="s">
        <v>237</v>
      </c>
      <c r="E18" s="430">
        <v>14000</v>
      </c>
      <c r="F18" s="440">
        <v>1</v>
      </c>
      <c r="G18" s="432">
        <f>E18*F18</f>
        <v>14000</v>
      </c>
      <c r="H18" s="460"/>
    </row>
    <row r="19" spans="1:8">
      <c r="A19" s="469" t="s">
        <v>607</v>
      </c>
      <c r="B19" s="467"/>
      <c r="C19" s="468"/>
      <c r="D19" s="459" t="s">
        <v>237</v>
      </c>
      <c r="E19" s="430">
        <v>8000</v>
      </c>
      <c r="F19" s="440">
        <v>1</v>
      </c>
      <c r="G19" s="432">
        <f>F19*E19</f>
        <v>8000</v>
      </c>
      <c r="H19" s="460"/>
    </row>
    <row r="20" spans="1:8">
      <c r="A20" s="469" t="s">
        <v>93</v>
      </c>
      <c r="B20" s="467"/>
      <c r="C20" s="471">
        <v>0.05</v>
      </c>
      <c r="D20" s="459"/>
      <c r="F20" s="431"/>
      <c r="G20" s="432">
        <f>SUM(G17:G19)*C20</f>
        <v>1100</v>
      </c>
      <c r="H20" s="460"/>
    </row>
    <row r="21" spans="1:8">
      <c r="A21" s="469"/>
      <c r="B21" s="467"/>
      <c r="C21" s="468"/>
      <c r="D21" s="459"/>
      <c r="E21" s="430"/>
      <c r="F21" s="431"/>
      <c r="G21" s="432"/>
      <c r="H21" s="460"/>
    </row>
    <row r="22" spans="1:8">
      <c r="A22" s="469"/>
      <c r="B22" s="467"/>
      <c r="C22" s="468"/>
      <c r="D22" s="459"/>
      <c r="E22" s="430"/>
      <c r="F22" s="431"/>
      <c r="G22" s="432"/>
      <c r="H22" s="460"/>
    </row>
    <row r="23" spans="1:8" ht="15.75" thickBot="1">
      <c r="A23" s="472"/>
      <c r="B23" s="473"/>
      <c r="C23" s="474"/>
      <c r="D23" s="464"/>
      <c r="E23" s="433"/>
      <c r="F23" s="434"/>
      <c r="G23" s="435"/>
      <c r="H23" s="465"/>
    </row>
    <row r="24" spans="1:8" ht="15.75" thickBot="1">
      <c r="A24" s="436"/>
      <c r="B24" s="436"/>
      <c r="C24" s="436"/>
      <c r="D24" s="436"/>
      <c r="E24" s="436"/>
      <c r="F24" s="436"/>
      <c r="G24" s="437" t="s">
        <v>86</v>
      </c>
      <c r="H24" s="466">
        <f>SUM(G18:G23)</f>
        <v>23100</v>
      </c>
    </row>
    <row r="25" spans="1:8" ht="15.75" thickBot="1">
      <c r="A25" s="450" t="s">
        <v>94</v>
      </c>
      <c r="B25" s="450"/>
      <c r="C25" s="436"/>
      <c r="D25" s="436"/>
      <c r="E25" s="436"/>
      <c r="F25" s="436"/>
      <c r="G25" s="436"/>
      <c r="H25" s="436"/>
    </row>
    <row r="26" spans="1:8">
      <c r="A26" s="1345" t="s">
        <v>95</v>
      </c>
      <c r="B26" s="1346"/>
      <c r="C26" s="1347"/>
      <c r="D26" s="438" t="s">
        <v>88</v>
      </c>
      <c r="E26" s="438" t="s">
        <v>89</v>
      </c>
      <c r="F26" s="438" t="s">
        <v>90</v>
      </c>
      <c r="G26" s="439" t="s">
        <v>84</v>
      </c>
      <c r="H26" s="457"/>
    </row>
    <row r="27" spans="1:8">
      <c r="A27" s="458" t="s">
        <v>235</v>
      </c>
      <c r="B27" s="467"/>
      <c r="C27" s="468"/>
      <c r="D27" s="459" t="s">
        <v>237</v>
      </c>
      <c r="E27" s="430">
        <v>100</v>
      </c>
      <c r="F27" s="440">
        <v>1</v>
      </c>
      <c r="G27" s="432">
        <f>E27*F27</f>
        <v>100</v>
      </c>
      <c r="H27" s="460"/>
    </row>
    <row r="28" spans="1:8" ht="15.75" thickBot="1">
      <c r="A28" s="1342" t="s">
        <v>606</v>
      </c>
      <c r="B28" s="1343"/>
      <c r="C28" s="1344"/>
      <c r="D28" s="475" t="s">
        <v>237</v>
      </c>
      <c r="E28" s="433">
        <v>3000</v>
      </c>
      <c r="F28" s="434">
        <v>1</v>
      </c>
      <c r="G28" s="441">
        <f>E28*F28</f>
        <v>3000</v>
      </c>
      <c r="H28" s="460"/>
    </row>
    <row r="29" spans="1:8" ht="15.75" thickBot="1">
      <c r="A29" s="436"/>
      <c r="B29" s="436"/>
      <c r="C29" s="436"/>
      <c r="D29" s="436"/>
      <c r="E29" s="436"/>
      <c r="F29" s="436"/>
      <c r="G29" s="437" t="s">
        <v>86</v>
      </c>
      <c r="H29" s="466">
        <f>SUM(G27:G28)</f>
        <v>3100</v>
      </c>
    </row>
    <row r="30" spans="1:8" ht="15.75" thickBot="1">
      <c r="A30" s="450" t="s">
        <v>96</v>
      </c>
      <c r="B30" s="450"/>
      <c r="C30" s="436"/>
      <c r="D30" s="436"/>
      <c r="E30" s="436"/>
      <c r="F30" s="436"/>
      <c r="G30" s="436"/>
      <c r="H30" s="436"/>
    </row>
    <row r="31" spans="1:8">
      <c r="A31" s="476" t="s">
        <v>97</v>
      </c>
      <c r="B31" s="438"/>
      <c r="C31" s="438" t="s">
        <v>98</v>
      </c>
      <c r="D31" s="438" t="s">
        <v>99</v>
      </c>
      <c r="E31" s="442" t="s">
        <v>100</v>
      </c>
      <c r="F31" s="443" t="s">
        <v>83</v>
      </c>
      <c r="G31" s="444" t="s">
        <v>84</v>
      </c>
      <c r="H31" s="477"/>
    </row>
    <row r="32" spans="1:8">
      <c r="A32" s="478" t="s">
        <v>227</v>
      </c>
      <c r="B32" s="468"/>
      <c r="C32" s="479">
        <f>PERSONAL!$E$31</f>
        <v>48800</v>
      </c>
      <c r="D32" s="480">
        <f>PERSONAL!$F$31</f>
        <v>1.7431000000000001</v>
      </c>
      <c r="E32" s="440">
        <f>+D32*C32</f>
        <v>85063.28</v>
      </c>
      <c r="F32" s="440">
        <v>17</v>
      </c>
      <c r="G32" s="445">
        <f>ROUND(E32/F32,0)</f>
        <v>5004</v>
      </c>
      <c r="H32" s="451"/>
    </row>
    <row r="33" spans="1:8">
      <c r="A33" s="478" t="s">
        <v>101</v>
      </c>
      <c r="B33" s="467"/>
      <c r="C33" s="479">
        <f>PERSONAL!$E$32</f>
        <v>87200</v>
      </c>
      <c r="D33" s="480">
        <f>PERSONAL!$F$31</f>
        <v>1.7431000000000001</v>
      </c>
      <c r="E33" s="440">
        <f>+D33*C33</f>
        <v>151998.32</v>
      </c>
      <c r="F33" s="440">
        <v>17</v>
      </c>
      <c r="G33" s="445">
        <f>ROUND(E33/F33,0)</f>
        <v>8941</v>
      </c>
      <c r="H33" s="451"/>
    </row>
    <row r="34" spans="1:8">
      <c r="A34" s="478"/>
      <c r="B34" s="468"/>
      <c r="C34" s="430"/>
      <c r="D34" s="459"/>
      <c r="E34" s="430"/>
      <c r="F34" s="440"/>
      <c r="G34" s="445"/>
      <c r="H34" s="451"/>
    </row>
    <row r="35" spans="1:8">
      <c r="A35" s="478"/>
      <c r="B35" s="468"/>
      <c r="C35" s="430"/>
      <c r="D35" s="459"/>
      <c r="E35" s="430"/>
      <c r="F35" s="440"/>
      <c r="G35" s="445"/>
      <c r="H35" s="451"/>
    </row>
    <row r="36" spans="1:8" ht="15.75" thickBot="1">
      <c r="A36" s="481"/>
      <c r="B36" s="474"/>
      <c r="C36" s="474"/>
      <c r="D36" s="474"/>
      <c r="E36" s="474"/>
      <c r="F36" s="474"/>
      <c r="G36" s="482"/>
      <c r="H36" s="482"/>
    </row>
    <row r="37" spans="1:8" ht="15.75" thickBot="1">
      <c r="A37" s="436"/>
      <c r="B37" s="436"/>
      <c r="C37" s="436"/>
      <c r="D37" s="436"/>
      <c r="E37" s="436"/>
      <c r="F37" s="436"/>
      <c r="G37" s="437" t="s">
        <v>86</v>
      </c>
      <c r="H37" s="466">
        <f>SUM(G32:G36)</f>
        <v>13945</v>
      </c>
    </row>
    <row r="38" spans="1:8" ht="15.75" thickBot="1">
      <c r="A38" s="436"/>
      <c r="B38" s="436"/>
      <c r="C38" s="436"/>
      <c r="D38" s="436"/>
      <c r="E38" s="436"/>
      <c r="F38" s="436"/>
      <c r="G38" s="483"/>
      <c r="H38" s="436"/>
    </row>
    <row r="39" spans="1:8" ht="15.75" thickBot="1">
      <c r="A39" s="436"/>
      <c r="B39" s="436"/>
      <c r="C39" s="436"/>
      <c r="D39" s="436"/>
      <c r="E39" s="484" t="s">
        <v>102</v>
      </c>
      <c r="F39" s="485"/>
      <c r="G39" s="485"/>
      <c r="H39" s="466">
        <f>H15+H24+H29+H37</f>
        <v>40842</v>
      </c>
    </row>
    <row r="40" spans="1:8" ht="15.75" thickBot="1">
      <c r="A40" s="450" t="s">
        <v>103</v>
      </c>
      <c r="B40" s="450"/>
      <c r="C40" s="436"/>
      <c r="D40" s="436"/>
      <c r="E40" s="436"/>
      <c r="F40" s="436"/>
      <c r="G40" s="436"/>
      <c r="H40" s="436"/>
    </row>
    <row r="41" spans="1:8">
      <c r="A41" s="487" t="s">
        <v>80</v>
      </c>
      <c r="B41" s="488"/>
      <c r="C41" s="488"/>
      <c r="D41" s="488"/>
      <c r="E41" s="489"/>
      <c r="F41" s="490" t="s">
        <v>104</v>
      </c>
      <c r="G41" s="491" t="s">
        <v>105</v>
      </c>
      <c r="H41" s="457"/>
    </row>
    <row r="42" spans="1:8">
      <c r="A42" s="469" t="s">
        <v>106</v>
      </c>
      <c r="B42" s="467"/>
      <c r="C42" s="467"/>
      <c r="D42" s="467"/>
      <c r="E42" s="468"/>
      <c r="F42" s="492">
        <f>PRESUPUESTO!$E$222</f>
        <v>0.109</v>
      </c>
      <c r="G42" s="493">
        <f>+F42*H39</f>
        <v>4451.7780000000002</v>
      </c>
      <c r="H42" s="460"/>
    </row>
    <row r="43" spans="1:8">
      <c r="A43" s="469" t="s">
        <v>107</v>
      </c>
      <c r="B43" s="467"/>
      <c r="C43" s="467"/>
      <c r="D43" s="467"/>
      <c r="E43" s="468"/>
      <c r="F43" s="492">
        <f>PRESUPUESTO!$E$223</f>
        <v>0.05</v>
      </c>
      <c r="G43" s="493">
        <f>+F43*H39</f>
        <v>2042.1000000000001</v>
      </c>
      <c r="H43" s="460"/>
    </row>
    <row r="44" spans="1:8" ht="15.75" thickBot="1">
      <c r="A44" s="472" t="s">
        <v>108</v>
      </c>
      <c r="B44" s="473"/>
      <c r="C44" s="473"/>
      <c r="D44" s="473"/>
      <c r="E44" s="474"/>
      <c r="F44" s="494">
        <v>0</v>
      </c>
      <c r="G44" s="495">
        <f>+F44*H39</f>
        <v>0</v>
      </c>
      <c r="H44" s="465"/>
    </row>
    <row r="45" spans="1:8" ht="15.75" thickBot="1">
      <c r="A45" s="436"/>
      <c r="B45" s="436"/>
      <c r="C45" s="436"/>
      <c r="D45" s="436"/>
      <c r="E45" s="436"/>
      <c r="F45" s="436"/>
      <c r="G45" s="437" t="s">
        <v>86</v>
      </c>
      <c r="H45" s="496">
        <f>SUM(G42:G44)</f>
        <v>6493.8780000000006</v>
      </c>
    </row>
    <row r="46" spans="1:8" ht="15.75" thickBot="1">
      <c r="A46" s="436"/>
      <c r="B46" s="436"/>
      <c r="C46" s="436"/>
      <c r="D46" s="436"/>
      <c r="E46" s="436"/>
      <c r="F46" s="436"/>
      <c r="G46" s="436"/>
      <c r="H46" s="436"/>
    </row>
    <row r="47" spans="1:8" ht="15.75" thickBot="1">
      <c r="A47" s="446"/>
      <c r="B47" s="446"/>
      <c r="C47" s="436"/>
      <c r="D47" s="484" t="s">
        <v>109</v>
      </c>
      <c r="E47" s="485"/>
      <c r="F47" s="485"/>
      <c r="G47" s="485"/>
      <c r="H47" s="466">
        <f>ROUND((H39+H45),0)</f>
        <v>47336</v>
      </c>
    </row>
    <row r="48" spans="1:8">
      <c r="A48" s="186" t="s">
        <v>77</v>
      </c>
      <c r="B48" s="446"/>
      <c r="C48" s="446"/>
      <c r="D48" s="446"/>
      <c r="E48" s="446"/>
      <c r="F48" s="446"/>
      <c r="G48" s="446"/>
      <c r="H48" s="446"/>
    </row>
    <row r="49" spans="1:8">
      <c r="A49" s="446"/>
      <c r="B49" s="446"/>
      <c r="C49" s="446"/>
      <c r="D49" s="446"/>
      <c r="E49" s="446"/>
      <c r="F49" s="446"/>
      <c r="G49" s="446"/>
      <c r="H49" s="446"/>
    </row>
    <row r="50" spans="1:8">
      <c r="A50" s="446"/>
      <c r="B50" s="446"/>
      <c r="C50" s="446"/>
      <c r="D50" s="446"/>
      <c r="E50" s="446"/>
      <c r="F50" s="446"/>
      <c r="G50" s="446"/>
      <c r="H50" s="446"/>
    </row>
    <row r="51" spans="1:8">
      <c r="A51" s="952" t="s">
        <v>1087</v>
      </c>
      <c r="B51" s="953" t="s">
        <v>1088</v>
      </c>
      <c r="C51" s="952" t="s">
        <v>88</v>
      </c>
      <c r="D51" s="952" t="s">
        <v>1089</v>
      </c>
      <c r="E51" s="954"/>
      <c r="F51" s="954"/>
      <c r="G51" s="446"/>
      <c r="H51" s="446"/>
    </row>
    <row r="52" spans="1:8" ht="38.25">
      <c r="A52" s="955">
        <v>1</v>
      </c>
      <c r="B52" s="956" t="s">
        <v>1090</v>
      </c>
      <c r="C52" s="955"/>
      <c r="D52" s="955">
        <v>2024</v>
      </c>
      <c r="E52" s="957" t="s">
        <v>1091</v>
      </c>
      <c r="F52" s="957" t="s">
        <v>1091</v>
      </c>
      <c r="G52" s="446"/>
      <c r="H52" s="446"/>
    </row>
    <row r="53" spans="1:8" ht="78.75">
      <c r="A53" s="958">
        <v>1.1000000000000001</v>
      </c>
      <c r="B53" s="1050" t="s">
        <v>1092</v>
      </c>
      <c r="C53" s="959" t="s">
        <v>19</v>
      </c>
      <c r="D53" s="960">
        <v>76603.800008859631</v>
      </c>
      <c r="E53" s="961">
        <f>142.5+100</f>
        <v>242.5</v>
      </c>
      <c r="F53" s="962">
        <f>+$D53*E53</f>
        <v>18576421.502148461</v>
      </c>
      <c r="G53" s="446"/>
      <c r="H53" s="446"/>
    </row>
    <row r="54" spans="1:8" ht="56.25">
      <c r="A54" s="958">
        <v>1.2</v>
      </c>
      <c r="B54" s="1050" t="s">
        <v>1093</v>
      </c>
      <c r="C54" s="959" t="s">
        <v>964</v>
      </c>
      <c r="D54" s="960">
        <v>7933.9650009176039</v>
      </c>
      <c r="E54" s="961">
        <v>303</v>
      </c>
      <c r="F54" s="962">
        <f>+$D54*E54</f>
        <v>2403991.3952780338</v>
      </c>
      <c r="G54" s="446"/>
      <c r="H54" s="446"/>
    </row>
    <row r="55" spans="1:8" ht="56.25">
      <c r="A55" s="958">
        <v>1.3</v>
      </c>
      <c r="B55" s="1051" t="s">
        <v>1094</v>
      </c>
      <c r="C55" s="959" t="s">
        <v>19</v>
      </c>
      <c r="D55" s="960">
        <f>+D53</f>
        <v>76603.800008859631</v>
      </c>
      <c r="E55" s="961">
        <v>80</v>
      </c>
      <c r="F55" s="962">
        <f>+$D55*E55</f>
        <v>6128304.00070877</v>
      </c>
      <c r="G55" s="446"/>
      <c r="H55" s="446"/>
    </row>
    <row r="56" spans="1:8" ht="25.5">
      <c r="A56" s="963">
        <v>2</v>
      </c>
      <c r="B56" s="1052" t="s">
        <v>1095</v>
      </c>
      <c r="C56" s="1445"/>
      <c r="D56" s="1446"/>
      <c r="E56" s="1446"/>
      <c r="F56" s="1447"/>
      <c r="G56" s="456"/>
      <c r="H56" s="436"/>
    </row>
    <row r="57" spans="1:8" ht="22.5">
      <c r="A57" s="958">
        <v>2.2000000000000002</v>
      </c>
      <c r="B57" s="1051" t="s">
        <v>1096</v>
      </c>
      <c r="C57" s="959" t="s">
        <v>47</v>
      </c>
      <c r="D57" s="960">
        <v>116274</v>
      </c>
      <c r="E57" s="964">
        <v>4</v>
      </c>
      <c r="F57" s="962">
        <f>+$D57*E57</f>
        <v>465096</v>
      </c>
    </row>
    <row r="58" spans="1:8" ht="90">
      <c r="A58" s="958">
        <v>2.4</v>
      </c>
      <c r="B58" s="1051" t="s">
        <v>1097</v>
      </c>
      <c r="C58" s="959" t="s">
        <v>47</v>
      </c>
      <c r="D58" s="960">
        <v>670283</v>
      </c>
      <c r="E58" s="964">
        <v>4</v>
      </c>
      <c r="F58" s="962">
        <f>+$D58*E58</f>
        <v>2681132</v>
      </c>
    </row>
    <row r="59" spans="1:8" ht="45">
      <c r="A59" s="958">
        <v>2.5</v>
      </c>
      <c r="B59" s="1051" t="s">
        <v>1098</v>
      </c>
      <c r="C59" s="959" t="s">
        <v>47</v>
      </c>
      <c r="D59" s="960">
        <v>75000</v>
      </c>
      <c r="E59" s="964">
        <v>2</v>
      </c>
      <c r="F59" s="962">
        <f>+$D59*E59</f>
        <v>150000</v>
      </c>
    </row>
    <row r="60" spans="1:8" ht="15.75">
      <c r="A60" s="1448" t="s">
        <v>23</v>
      </c>
      <c r="B60" s="1449"/>
      <c r="C60" s="1449"/>
      <c r="D60" s="1449"/>
      <c r="E60" s="1449"/>
      <c r="F60" s="965">
        <f>+SUM(F53:F59)</f>
        <v>30404944.898135263</v>
      </c>
    </row>
  </sheetData>
  <mergeCells count="12">
    <mergeCell ref="A14:C14"/>
    <mergeCell ref="A3:C5"/>
    <mergeCell ref="D5:H5"/>
    <mergeCell ref="A11:C11"/>
    <mergeCell ref="A12:C12"/>
    <mergeCell ref="A13:C13"/>
    <mergeCell ref="B8:F8"/>
    <mergeCell ref="C56:F56"/>
    <mergeCell ref="A60:E60"/>
    <mergeCell ref="A17:C17"/>
    <mergeCell ref="A26:C26"/>
    <mergeCell ref="A28:C28"/>
  </mergeCells>
  <hyperlinks>
    <hyperlink ref="A1" r:id="rId1" location="PRESUPUESTO!A1" xr:uid="{F254ECF4-1C9A-4A68-98B6-DA02C52B9351}"/>
    <hyperlink ref="A48" r:id="rId2" location="PRESUPUESTO!A1" xr:uid="{A33C8B8A-784E-4B48-AC98-319AE179AACA}"/>
  </hyperlinks>
  <pageMargins left="0.7" right="0.7" top="0.75" bottom="0.75" header="0.3" footer="0.3"/>
  <pageSetup scale="72" orientation="portrait" r:id="rId3"/>
  <rowBreaks count="1" manualBreakCount="1">
    <brk id="49"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289"/>
  <sheetViews>
    <sheetView view="pageBreakPreview" topLeftCell="A271" zoomScale="130" zoomScaleNormal="100" zoomScaleSheetLayoutView="130" workbookViewId="0">
      <selection activeCell="I175" sqref="I175"/>
    </sheetView>
  </sheetViews>
  <sheetFormatPr baseColWidth="10" defaultRowHeight="15"/>
  <cols>
    <col min="1" max="1" width="11.42578125" style="446"/>
    <col min="2" max="2" width="10.42578125" style="446" customWidth="1"/>
    <col min="3" max="3" width="13" style="446" customWidth="1"/>
    <col min="4" max="8" width="11.42578125" style="446"/>
    <col min="9" max="9" width="14.28515625" bestFit="1" customWidth="1"/>
    <col min="11" max="11" width="13" bestFit="1" customWidth="1"/>
    <col min="12" max="12" width="16.7109375" bestFit="1" customWidth="1"/>
    <col min="13" max="13" width="15.5703125" bestFit="1" customWidth="1"/>
    <col min="14" max="14" width="16.7109375" bestFit="1" customWidth="1"/>
  </cols>
  <sheetData>
    <row r="1" spans="1:8">
      <c r="A1" s="186" t="s">
        <v>77</v>
      </c>
    </row>
    <row r="2" spans="1:8" ht="15.75" thickBot="1"/>
    <row r="3" spans="1:8">
      <c r="A3" s="1348" t="s">
        <v>213</v>
      </c>
      <c r="B3" s="1349"/>
      <c r="C3" s="1350"/>
      <c r="D3" s="448"/>
      <c r="E3" s="448"/>
      <c r="F3" s="448"/>
      <c r="G3" s="448"/>
      <c r="H3" s="449"/>
    </row>
    <row r="4" spans="1:8">
      <c r="A4" s="1351"/>
      <c r="B4" s="1352"/>
      <c r="C4" s="1353"/>
      <c r="D4" s="436"/>
      <c r="E4" s="450" t="s">
        <v>78</v>
      </c>
      <c r="F4" s="436"/>
      <c r="G4" s="436"/>
      <c r="H4" s="451"/>
    </row>
    <row r="5" spans="1:8" ht="15.75" thickBot="1">
      <c r="A5" s="1354"/>
      <c r="B5" s="1355"/>
      <c r="C5" s="1356"/>
      <c r="D5" s="1360"/>
      <c r="E5" s="1361"/>
      <c r="F5" s="1361"/>
      <c r="G5" s="1361"/>
      <c r="H5" s="1362"/>
    </row>
    <row r="6" spans="1:8">
      <c r="A6" s="455"/>
      <c r="B6" s="436"/>
      <c r="C6" s="436"/>
      <c r="D6" s="436"/>
      <c r="E6" s="436"/>
      <c r="F6" s="436"/>
      <c r="G6" s="436"/>
      <c r="H6" s="436"/>
    </row>
    <row r="7" spans="1:8" s="446" customFormat="1" ht="12.75">
      <c r="A7" s="455" t="s">
        <v>1228</v>
      </c>
      <c r="B7" s="456" t="str">
        <f>+PRESUPUESTO!$B$201</f>
        <v>AMOBLAMIENTO</v>
      </c>
      <c r="C7" s="436"/>
      <c r="E7" s="456"/>
      <c r="G7" s="456" t="s">
        <v>1123</v>
      </c>
      <c r="H7" s="436" t="str">
        <f>+PRESUPUESTO!$A$203</f>
        <v>13.1.1</v>
      </c>
    </row>
    <row r="8" spans="1:8" s="931" customFormat="1" ht="46.9" customHeight="1">
      <c r="A8" s="928" t="s">
        <v>1122</v>
      </c>
      <c r="B8" s="1375" t="str">
        <f>VLOOKUP(H7,PRESUPUESTO!$A$18:$F$251,2,FALSE)</f>
        <v>Suministro e instalación de mesa en concreto prefabricado, concreto a la vista pulido. Medidas 80x80x80 cm con juego de mesa pintado de ajedrez o parques.</v>
      </c>
      <c r="C8" s="1375"/>
      <c r="D8" s="1375"/>
      <c r="E8" s="1375"/>
      <c r="F8" s="1375"/>
      <c r="G8" s="929" t="s">
        <v>9</v>
      </c>
      <c r="H8" s="1024" t="str">
        <f>VLOOKUP(H7,PRESUPUESTO!$A$18:$F$251,3,FALSE)</f>
        <v>un</v>
      </c>
    </row>
    <row r="9" spans="1:8">
      <c r="A9" s="456"/>
      <c r="B9" s="456"/>
      <c r="C9" s="436"/>
      <c r="D9" s="456"/>
      <c r="E9" s="456"/>
      <c r="F9" s="456"/>
      <c r="G9" s="456"/>
      <c r="H9" s="436"/>
    </row>
    <row r="10" spans="1:8" ht="15.75" thickBot="1">
      <c r="A10" s="450" t="s">
        <v>79</v>
      </c>
      <c r="B10" s="450"/>
      <c r="C10" s="436"/>
      <c r="D10" s="436"/>
      <c r="E10" s="436"/>
      <c r="F10" s="436"/>
      <c r="G10" s="436"/>
      <c r="H10" s="436"/>
    </row>
    <row r="11" spans="1:8">
      <c r="A11" s="1345" t="s">
        <v>80</v>
      </c>
      <c r="B11" s="1346"/>
      <c r="C11" s="1347"/>
      <c r="D11" s="438" t="s">
        <v>81</v>
      </c>
      <c r="E11" s="438" t="s">
        <v>82</v>
      </c>
      <c r="F11" s="438" t="s">
        <v>83</v>
      </c>
      <c r="G11" s="439" t="s">
        <v>84</v>
      </c>
      <c r="H11" s="457"/>
    </row>
    <row r="12" spans="1:8">
      <c r="A12" s="1357" t="s">
        <v>85</v>
      </c>
      <c r="B12" s="1358"/>
      <c r="C12" s="1359"/>
      <c r="D12" s="459"/>
      <c r="E12" s="440"/>
      <c r="F12" s="440"/>
      <c r="G12" s="432">
        <f>ROUND(H37*0.05,0)</f>
        <v>3951</v>
      </c>
      <c r="H12" s="460"/>
    </row>
    <row r="13" spans="1:8">
      <c r="A13" s="1357"/>
      <c r="B13" s="1358"/>
      <c r="C13" s="1359"/>
      <c r="D13" s="461"/>
      <c r="E13" s="462"/>
      <c r="F13" s="440"/>
      <c r="G13" s="432"/>
      <c r="H13" s="460"/>
    </row>
    <row r="14" spans="1:8" ht="15.75" thickBot="1">
      <c r="A14" s="1342"/>
      <c r="B14" s="1343"/>
      <c r="C14" s="1344"/>
      <c r="D14" s="464"/>
      <c r="E14" s="433"/>
      <c r="F14" s="434"/>
      <c r="G14" s="441"/>
      <c r="H14" s="465"/>
    </row>
    <row r="15" spans="1:8" ht="15.75" thickBot="1">
      <c r="A15" s="436"/>
      <c r="B15" s="436"/>
      <c r="C15" s="436"/>
      <c r="D15" s="436"/>
      <c r="E15" s="436"/>
      <c r="F15" s="436"/>
      <c r="G15" s="437" t="s">
        <v>86</v>
      </c>
      <c r="H15" s="466">
        <f>SUM(G12:G14)</f>
        <v>3951</v>
      </c>
    </row>
    <row r="16" spans="1:8" ht="15.75" thickBot="1">
      <c r="A16" s="450" t="s">
        <v>87</v>
      </c>
      <c r="B16" s="450"/>
      <c r="C16" s="436"/>
      <c r="D16" s="436"/>
      <c r="E16" s="436"/>
      <c r="F16" s="436"/>
      <c r="G16" s="436"/>
      <c r="H16" s="436"/>
    </row>
    <row r="17" spans="1:14">
      <c r="A17" s="1345" t="s">
        <v>80</v>
      </c>
      <c r="B17" s="1346"/>
      <c r="C17" s="1347"/>
      <c r="D17" s="438" t="s">
        <v>88</v>
      </c>
      <c r="E17" s="438" t="s">
        <v>89</v>
      </c>
      <c r="F17" s="438" t="s">
        <v>90</v>
      </c>
      <c r="G17" s="439" t="s">
        <v>84</v>
      </c>
      <c r="H17" s="457"/>
    </row>
    <row r="18" spans="1:14">
      <c r="A18" s="458" t="s">
        <v>270</v>
      </c>
      <c r="B18" s="467"/>
      <c r="C18" s="468"/>
      <c r="D18" s="459" t="s">
        <v>268</v>
      </c>
      <c r="E18" s="674">
        <f>2000000*1.19+100000</f>
        <v>2480000</v>
      </c>
      <c r="F18" s="440">
        <v>1</v>
      </c>
      <c r="G18" s="432">
        <f>E18*F18</f>
        <v>2480000</v>
      </c>
      <c r="H18" s="460"/>
      <c r="J18" s="430">
        <f>1.2*476000</f>
        <v>571200</v>
      </c>
    </row>
    <row r="19" spans="1:14">
      <c r="A19" s="469"/>
      <c r="B19" s="467"/>
      <c r="C19" s="468"/>
      <c r="D19" s="459"/>
      <c r="E19" s="430"/>
      <c r="F19" s="431"/>
      <c r="G19" s="432"/>
      <c r="H19" s="460"/>
    </row>
    <row r="20" spans="1:14">
      <c r="A20" s="469" t="s">
        <v>93</v>
      </c>
      <c r="B20" s="467"/>
      <c r="C20" s="471">
        <v>0.05</v>
      </c>
      <c r="D20" s="459"/>
      <c r="E20" s="430"/>
      <c r="F20" s="431"/>
      <c r="G20" s="432"/>
      <c r="H20" s="460"/>
    </row>
    <row r="21" spans="1:14">
      <c r="A21" s="469"/>
      <c r="B21" s="467"/>
      <c r="C21" s="468"/>
      <c r="D21" s="459"/>
      <c r="E21" s="430"/>
      <c r="F21" s="431"/>
      <c r="G21" s="432"/>
      <c r="H21" s="460"/>
    </row>
    <row r="22" spans="1:14">
      <c r="A22" s="469"/>
      <c r="B22" s="467"/>
      <c r="C22" s="468"/>
      <c r="D22" s="459"/>
      <c r="E22" s="430"/>
      <c r="F22" s="431"/>
      <c r="G22" s="432"/>
      <c r="H22" s="460"/>
    </row>
    <row r="23" spans="1:14" ht="15.75" thickBot="1">
      <c r="A23" s="472"/>
      <c r="B23" s="473"/>
      <c r="C23" s="474"/>
      <c r="D23" s="464"/>
      <c r="E23" s="433"/>
      <c r="F23" s="434"/>
      <c r="G23" s="435"/>
      <c r="H23" s="465"/>
    </row>
    <row r="24" spans="1:14" ht="15.75" thickBot="1">
      <c r="A24" s="436"/>
      <c r="B24" s="436"/>
      <c r="C24" s="436"/>
      <c r="D24" s="436"/>
      <c r="E24" s="436"/>
      <c r="F24" s="436"/>
      <c r="G24" s="437" t="s">
        <v>86</v>
      </c>
      <c r="H24" s="466">
        <f>SUM(G18:G23)</f>
        <v>2480000</v>
      </c>
    </row>
    <row r="25" spans="1:14" ht="15.75" thickBot="1">
      <c r="A25" s="450" t="s">
        <v>94</v>
      </c>
      <c r="B25" s="450"/>
      <c r="C25" s="436"/>
      <c r="D25" s="436"/>
      <c r="E25" s="436"/>
      <c r="F25" s="436"/>
      <c r="G25" s="436"/>
      <c r="H25" s="436"/>
    </row>
    <row r="26" spans="1:14">
      <c r="A26" s="1345" t="s">
        <v>95</v>
      </c>
      <c r="B26" s="1346"/>
      <c r="C26" s="1347"/>
      <c r="D26" s="438" t="s">
        <v>88</v>
      </c>
      <c r="E26" s="438" t="s">
        <v>89</v>
      </c>
      <c r="F26" s="438" t="s">
        <v>90</v>
      </c>
      <c r="G26" s="439" t="s">
        <v>84</v>
      </c>
      <c r="H26" s="457"/>
    </row>
    <row r="27" spans="1:14">
      <c r="A27" s="458" t="s">
        <v>592</v>
      </c>
      <c r="B27" s="467"/>
      <c r="C27" s="468"/>
      <c r="D27" s="459" t="s">
        <v>268</v>
      </c>
      <c r="E27" s="674">
        <v>82500</v>
      </c>
      <c r="F27" s="440">
        <v>1</v>
      </c>
      <c r="G27" s="432">
        <f>E27*F27</f>
        <v>82500</v>
      </c>
      <c r="H27" s="460"/>
      <c r="I27" s="323">
        <f>+G27*PRESUPUESTO!D203</f>
        <v>907500</v>
      </c>
      <c r="J27">
        <f>310000*1.19</f>
        <v>368900</v>
      </c>
      <c r="N27">
        <v>850000</v>
      </c>
    </row>
    <row r="28" spans="1:14" ht="15.75" thickBot="1">
      <c r="A28" s="1342" t="s">
        <v>692</v>
      </c>
      <c r="B28" s="1343"/>
      <c r="C28" s="1344"/>
      <c r="D28" s="475" t="s">
        <v>268</v>
      </c>
      <c r="E28" s="697">
        <f>+PERSONAL!$E$31*PERSONAL!$F$31</f>
        <v>85063.28</v>
      </c>
      <c r="F28" s="434">
        <f>1/4</f>
        <v>0.25</v>
      </c>
      <c r="G28" s="441">
        <f>E28*F28</f>
        <v>21265.82</v>
      </c>
      <c r="H28" s="460"/>
      <c r="J28">
        <f>1390000*1.19</f>
        <v>1654100</v>
      </c>
    </row>
    <row r="29" spans="1:14" ht="15.75" thickBot="1">
      <c r="A29" s="436"/>
      <c r="B29" s="436"/>
      <c r="C29" s="436"/>
      <c r="D29" s="436"/>
      <c r="E29" s="436"/>
      <c r="F29" s="436"/>
      <c r="G29" s="437" t="s">
        <v>86</v>
      </c>
      <c r="H29" s="466">
        <f>SUM(G27:G28)</f>
        <v>103765.82</v>
      </c>
    </row>
    <row r="30" spans="1:14" ht="15.75" thickBot="1">
      <c r="A30" s="450" t="s">
        <v>96</v>
      </c>
      <c r="B30" s="450"/>
      <c r="C30" s="436"/>
      <c r="D30" s="436"/>
      <c r="E30" s="436"/>
      <c r="F30" s="436"/>
      <c r="G30" s="436"/>
      <c r="H30" s="436"/>
    </row>
    <row r="31" spans="1:14">
      <c r="A31" s="476" t="s">
        <v>97</v>
      </c>
      <c r="B31" s="438"/>
      <c r="C31" s="438" t="s">
        <v>98</v>
      </c>
      <c r="D31" s="438" t="s">
        <v>99</v>
      </c>
      <c r="E31" s="442" t="s">
        <v>100</v>
      </c>
      <c r="F31" s="443" t="s">
        <v>83</v>
      </c>
      <c r="G31" s="444" t="s">
        <v>84</v>
      </c>
      <c r="H31" s="477"/>
    </row>
    <row r="32" spans="1:14">
      <c r="A32" s="478" t="s">
        <v>227</v>
      </c>
      <c r="B32" s="468"/>
      <c r="C32" s="479">
        <v>48800</v>
      </c>
      <c r="D32" s="480">
        <v>1.7431000000000001</v>
      </c>
      <c r="E32" s="440">
        <v>85063.28</v>
      </c>
      <c r="F32" s="440">
        <v>3</v>
      </c>
      <c r="G32" s="445">
        <f>+E32/F32</f>
        <v>28354.426666666666</v>
      </c>
      <c r="H32" s="451"/>
    </row>
    <row r="33" spans="1:9">
      <c r="A33" s="478" t="s">
        <v>101</v>
      </c>
      <c r="B33" s="467"/>
      <c r="C33" s="479">
        <v>87200</v>
      </c>
      <c r="D33" s="480">
        <v>1.7431000000000001</v>
      </c>
      <c r="E33" s="440">
        <v>151998.32</v>
      </c>
      <c r="F33" s="440">
        <f>+F32</f>
        <v>3</v>
      </c>
      <c r="G33" s="445">
        <f>+E33/F33</f>
        <v>50666.106666666667</v>
      </c>
      <c r="H33" s="451"/>
    </row>
    <row r="34" spans="1:9">
      <c r="A34" s="478"/>
      <c r="B34" s="468"/>
      <c r="C34" s="430"/>
      <c r="D34" s="459"/>
      <c r="E34" s="430"/>
      <c r="F34" s="440"/>
      <c r="G34" s="445"/>
      <c r="H34" s="451"/>
    </row>
    <row r="35" spans="1:9">
      <c r="A35" s="478"/>
      <c r="B35" s="468"/>
      <c r="C35" s="430"/>
      <c r="D35" s="459"/>
      <c r="E35" s="430"/>
      <c r="F35" s="440"/>
      <c r="G35" s="445"/>
      <c r="H35" s="451"/>
    </row>
    <row r="36" spans="1:9" ht="15.75" thickBot="1">
      <c r="A36" s="481"/>
      <c r="B36" s="474"/>
      <c r="C36" s="474"/>
      <c r="D36" s="474"/>
      <c r="E36" s="474"/>
      <c r="F36" s="474"/>
      <c r="G36" s="482"/>
      <c r="H36" s="482"/>
    </row>
    <row r="37" spans="1:9" ht="15.75" thickBot="1">
      <c r="A37" s="436"/>
      <c r="B37" s="436"/>
      <c r="C37" s="436"/>
      <c r="D37" s="436"/>
      <c r="E37" s="436"/>
      <c r="F37" s="436"/>
      <c r="G37" s="437" t="s">
        <v>86</v>
      </c>
      <c r="H37" s="466">
        <f>SUM(G32:G36)</f>
        <v>79020.533333333326</v>
      </c>
      <c r="I37" s="683">
        <f>+H37*PRESUPUESTO!D203</f>
        <v>869225.86666666658</v>
      </c>
    </row>
    <row r="38" spans="1:9" ht="15.75" thickBot="1">
      <c r="A38" s="436"/>
      <c r="B38" s="436"/>
      <c r="C38" s="436"/>
      <c r="D38" s="436"/>
      <c r="E38" s="436"/>
      <c r="F38" s="436"/>
      <c r="G38" s="483"/>
      <c r="H38" s="436"/>
    </row>
    <row r="39" spans="1:9" ht="15.75" thickBot="1">
      <c r="A39" s="436"/>
      <c r="B39" s="436"/>
      <c r="C39" s="436"/>
      <c r="D39" s="436"/>
      <c r="E39" s="484" t="s">
        <v>102</v>
      </c>
      <c r="F39" s="485"/>
      <c r="G39" s="485"/>
      <c r="H39" s="466">
        <f>H15+H24+H29+H37</f>
        <v>2666737.353333333</v>
      </c>
    </row>
    <row r="40" spans="1:9" ht="15.75" thickBot="1">
      <c r="A40" s="450" t="s">
        <v>103</v>
      </c>
      <c r="B40" s="450"/>
      <c r="C40" s="436"/>
      <c r="D40" s="436"/>
      <c r="E40" s="436"/>
      <c r="F40" s="436"/>
      <c r="G40" s="436"/>
      <c r="H40" s="436"/>
    </row>
    <row r="41" spans="1:9">
      <c r="A41" s="487" t="s">
        <v>80</v>
      </c>
      <c r="B41" s="488"/>
      <c r="C41" s="488"/>
      <c r="D41" s="488"/>
      <c r="E41" s="489"/>
      <c r="F41" s="490" t="s">
        <v>104</v>
      </c>
      <c r="G41" s="491" t="s">
        <v>105</v>
      </c>
      <c r="H41" s="457"/>
    </row>
    <row r="42" spans="1:9">
      <c r="A42" s="469" t="s">
        <v>106</v>
      </c>
      <c r="B42" s="467"/>
      <c r="C42" s="467"/>
      <c r="D42" s="467"/>
      <c r="E42" s="468"/>
      <c r="F42" s="492">
        <f>PRESUPUESTO!$E$222</f>
        <v>0.109</v>
      </c>
      <c r="G42" s="493">
        <f>+F42*H39</f>
        <v>290674.37151333329</v>
      </c>
      <c r="H42" s="460"/>
    </row>
    <row r="43" spans="1:9">
      <c r="A43" s="469" t="s">
        <v>107</v>
      </c>
      <c r="B43" s="467"/>
      <c r="C43" s="467"/>
      <c r="D43" s="467"/>
      <c r="E43" s="468"/>
      <c r="F43" s="492">
        <f>PRESUPUESTO!$E$223</f>
        <v>0.05</v>
      </c>
      <c r="G43" s="493">
        <f>+F43*H39</f>
        <v>133336.86766666666</v>
      </c>
      <c r="H43" s="460"/>
    </row>
    <row r="44" spans="1:9" ht="15.75" thickBot="1">
      <c r="A44" s="472" t="s">
        <v>108</v>
      </c>
      <c r="B44" s="473"/>
      <c r="C44" s="473"/>
      <c r="D44" s="473"/>
      <c r="E44" s="474"/>
      <c r="F44" s="494">
        <v>0</v>
      </c>
      <c r="G44" s="495">
        <f>+F44*H39</f>
        <v>0</v>
      </c>
      <c r="H44" s="465"/>
    </row>
    <row r="45" spans="1:9" ht="15.75" thickBot="1">
      <c r="A45" s="436"/>
      <c r="B45" s="436"/>
      <c r="C45" s="436"/>
      <c r="D45" s="436"/>
      <c r="E45" s="436"/>
      <c r="F45" s="436"/>
      <c r="G45" s="437" t="s">
        <v>86</v>
      </c>
      <c r="H45" s="496">
        <f>SUM(G42:G44)</f>
        <v>424011.23917999992</v>
      </c>
    </row>
    <row r="46" spans="1:9" ht="15.75" thickBot="1">
      <c r="A46" s="436"/>
      <c r="B46" s="436"/>
      <c r="C46" s="436"/>
      <c r="D46" s="436"/>
      <c r="E46" s="436"/>
      <c r="F46" s="436"/>
      <c r="G46" s="436"/>
      <c r="H46" s="436"/>
    </row>
    <row r="47" spans="1:9" ht="15.75" thickBot="1">
      <c r="C47" s="436"/>
      <c r="D47" s="484" t="s">
        <v>109</v>
      </c>
      <c r="E47" s="485"/>
      <c r="F47" s="485"/>
      <c r="G47" s="485"/>
      <c r="H47" s="466">
        <f>ROUND((H39+H45),0)</f>
        <v>3090749</v>
      </c>
    </row>
    <row r="49" spans="1:8">
      <c r="A49" s="186" t="s">
        <v>77</v>
      </c>
    </row>
    <row r="50" spans="1:8" ht="15.75" thickBot="1"/>
    <row r="51" spans="1:8">
      <c r="A51" s="1348" t="s">
        <v>213</v>
      </c>
      <c r="B51" s="1349"/>
      <c r="C51" s="1350"/>
      <c r="D51" s="448"/>
      <c r="E51" s="448"/>
      <c r="F51" s="448"/>
      <c r="G51" s="448"/>
      <c r="H51" s="449"/>
    </row>
    <row r="52" spans="1:8">
      <c r="A52" s="1351"/>
      <c r="B52" s="1352"/>
      <c r="C52" s="1353"/>
      <c r="D52" s="436"/>
      <c r="E52" s="450" t="s">
        <v>78</v>
      </c>
      <c r="F52" s="436"/>
      <c r="G52" s="436"/>
      <c r="H52" s="451"/>
    </row>
    <row r="53" spans="1:8" ht="15.75" thickBot="1">
      <c r="A53" s="1354"/>
      <c r="B53" s="1355"/>
      <c r="C53" s="1356"/>
      <c r="D53" s="1360"/>
      <c r="E53" s="1361"/>
      <c r="F53" s="1361"/>
      <c r="G53" s="1361"/>
      <c r="H53" s="1362"/>
    </row>
    <row r="54" spans="1:8">
      <c r="A54" s="455"/>
      <c r="B54" s="436"/>
      <c r="C54" s="436"/>
      <c r="D54" s="436"/>
      <c r="E54" s="436"/>
      <c r="F54" s="436"/>
      <c r="G54" s="436"/>
      <c r="H54" s="436"/>
    </row>
    <row r="55" spans="1:8" s="446" customFormat="1" ht="12.75">
      <c r="A55" s="455" t="s">
        <v>1228</v>
      </c>
      <c r="B55" s="456" t="str">
        <f>+PRESUPUESTO!$B$201</f>
        <v>AMOBLAMIENTO</v>
      </c>
      <c r="C55" s="436"/>
      <c r="E55" s="456"/>
      <c r="G55" s="456" t="s">
        <v>1123</v>
      </c>
      <c r="H55" s="436" t="str">
        <f>+PRESUPUESTO!$A$204</f>
        <v>13.1.2</v>
      </c>
    </row>
    <row r="56" spans="1:8" s="931" customFormat="1" ht="55.9" customHeight="1">
      <c r="A56" s="928" t="s">
        <v>1122</v>
      </c>
      <c r="B56" s="1375" t="str">
        <f>VLOOKUP(H55,PRESUPUESTO!$A$18:$F$251,2,FALSE)</f>
        <v>Suministro e instalación de bancas en concreto prefabricado, concreto a la vista pulido, cubo con acabado en dado en los cuatro laterales, los circulos que forman el numero van en profundidad no en relieve. Medidas 45x45x45 cm para juego de mesa pintado de ajedrez o parques. Incluye base en concreto de 5 cm o según ficha de fabricación, con soporte en hierro para anclaje al suelo.</v>
      </c>
      <c r="C56" s="1375"/>
      <c r="D56" s="1375"/>
      <c r="E56" s="1375"/>
      <c r="F56" s="1375"/>
      <c r="G56" s="929" t="s">
        <v>9</v>
      </c>
      <c r="H56" s="1024" t="str">
        <f>VLOOKUP(H55,PRESUPUESTO!$A$18:$F$251,3,FALSE)</f>
        <v>un</v>
      </c>
    </row>
    <row r="57" spans="1:8">
      <c r="A57" s="456"/>
      <c r="B57" s="456"/>
      <c r="C57" s="436"/>
      <c r="D57" s="456"/>
      <c r="E57" s="456"/>
      <c r="F57" s="456"/>
      <c r="G57" s="456"/>
      <c r="H57" s="436"/>
    </row>
    <row r="58" spans="1:8" ht="15.75" thickBot="1">
      <c r="A58" s="450" t="s">
        <v>79</v>
      </c>
      <c r="B58" s="450"/>
      <c r="C58" s="436"/>
      <c r="D58" s="436"/>
      <c r="E58" s="436"/>
      <c r="F58" s="436"/>
      <c r="G58" s="436"/>
      <c r="H58" s="436"/>
    </row>
    <row r="59" spans="1:8">
      <c r="A59" s="1345" t="s">
        <v>80</v>
      </c>
      <c r="B59" s="1346"/>
      <c r="C59" s="1347"/>
      <c r="D59" s="438" t="s">
        <v>81</v>
      </c>
      <c r="E59" s="438" t="s">
        <v>82</v>
      </c>
      <c r="F59" s="438" t="s">
        <v>83</v>
      </c>
      <c r="G59" s="439" t="s">
        <v>84</v>
      </c>
      <c r="H59" s="457"/>
    </row>
    <row r="60" spans="1:8">
      <c r="A60" s="1357" t="s">
        <v>85</v>
      </c>
      <c r="B60" s="1358"/>
      <c r="C60" s="1359"/>
      <c r="D60" s="459"/>
      <c r="E60" s="440"/>
      <c r="F60" s="440"/>
      <c r="G60" s="432">
        <f>ROUND(H85*0.05,0)</f>
        <v>1185</v>
      </c>
      <c r="H60" s="460"/>
    </row>
    <row r="61" spans="1:8">
      <c r="A61" s="1357"/>
      <c r="B61" s="1358"/>
      <c r="C61" s="1359"/>
      <c r="D61" s="461"/>
      <c r="E61" s="462"/>
      <c r="F61" s="440"/>
      <c r="G61" s="432"/>
      <c r="H61" s="460"/>
    </row>
    <row r="62" spans="1:8" ht="15.75" thickBot="1">
      <c r="A62" s="1342"/>
      <c r="B62" s="1343"/>
      <c r="C62" s="1344"/>
      <c r="D62" s="464"/>
      <c r="E62" s="433"/>
      <c r="F62" s="434"/>
      <c r="G62" s="441"/>
      <c r="H62" s="465"/>
    </row>
    <row r="63" spans="1:8" ht="15.75" thickBot="1">
      <c r="A63" s="436"/>
      <c r="B63" s="436"/>
      <c r="C63" s="436"/>
      <c r="D63" s="436"/>
      <c r="E63" s="436"/>
      <c r="F63" s="436"/>
      <c r="G63" s="437" t="s">
        <v>86</v>
      </c>
      <c r="H63" s="466">
        <f>SUM(G60:G62)</f>
        <v>1185</v>
      </c>
    </row>
    <row r="64" spans="1:8" ht="15.75" thickBot="1">
      <c r="A64" s="450" t="s">
        <v>87</v>
      </c>
      <c r="B64" s="450"/>
      <c r="C64" s="436"/>
      <c r="D64" s="436"/>
      <c r="E64" s="436"/>
      <c r="F64" s="436"/>
      <c r="G64" s="436"/>
      <c r="H64" s="436"/>
    </row>
    <row r="65" spans="1:14">
      <c r="A65" s="1345" t="s">
        <v>80</v>
      </c>
      <c r="B65" s="1346"/>
      <c r="C65" s="1347"/>
      <c r="D65" s="438" t="s">
        <v>88</v>
      </c>
      <c r="E65" s="438" t="s">
        <v>89</v>
      </c>
      <c r="F65" s="438" t="s">
        <v>90</v>
      </c>
      <c r="G65" s="439" t="s">
        <v>84</v>
      </c>
      <c r="H65" s="457"/>
    </row>
    <row r="66" spans="1:14">
      <c r="A66" s="458" t="s">
        <v>269</v>
      </c>
      <c r="B66" s="467"/>
      <c r="C66" s="468"/>
      <c r="D66" s="459" t="s">
        <v>268</v>
      </c>
      <c r="E66" s="674">
        <f>850000*1.19</f>
        <v>1011500</v>
      </c>
      <c r="F66" s="440">
        <v>1</v>
      </c>
      <c r="G66" s="432">
        <f>E66*F66</f>
        <v>1011500</v>
      </c>
      <c r="H66" s="460"/>
      <c r="J66" s="430">
        <f>1.2*154700</f>
        <v>185640</v>
      </c>
    </row>
    <row r="67" spans="1:14">
      <c r="A67" s="469"/>
      <c r="B67" s="467"/>
      <c r="C67" s="468"/>
      <c r="D67" s="459"/>
      <c r="E67" s="430"/>
      <c r="F67" s="431"/>
      <c r="G67" s="432"/>
      <c r="H67" s="460"/>
    </row>
    <row r="68" spans="1:14">
      <c r="A68" s="469" t="s">
        <v>93</v>
      </c>
      <c r="B68" s="467"/>
      <c r="C68" s="471">
        <v>0.05</v>
      </c>
      <c r="D68" s="459"/>
      <c r="E68" s="430"/>
      <c r="F68" s="431"/>
      <c r="G68" s="432"/>
      <c r="H68" s="460"/>
    </row>
    <row r="69" spans="1:14">
      <c r="A69" s="469"/>
      <c r="B69" s="467"/>
      <c r="C69" s="468"/>
      <c r="D69" s="459"/>
      <c r="E69" s="430"/>
      <c r="F69" s="431"/>
      <c r="G69" s="432"/>
      <c r="H69" s="460"/>
    </row>
    <row r="70" spans="1:14">
      <c r="A70" s="469"/>
      <c r="B70" s="467"/>
      <c r="C70" s="468"/>
      <c r="D70" s="459"/>
      <c r="E70" s="430"/>
      <c r="F70" s="431"/>
      <c r="G70" s="432"/>
      <c r="H70" s="460"/>
    </row>
    <row r="71" spans="1:14" ht="15.75" thickBot="1">
      <c r="A71" s="472"/>
      <c r="B71" s="473"/>
      <c r="C71" s="474"/>
      <c r="D71" s="464"/>
      <c r="E71" s="433"/>
      <c r="F71" s="434"/>
      <c r="G71" s="435"/>
      <c r="H71" s="465"/>
    </row>
    <row r="72" spans="1:14" ht="15.75" thickBot="1">
      <c r="A72" s="436"/>
      <c r="B72" s="436"/>
      <c r="C72" s="436"/>
      <c r="D72" s="436"/>
      <c r="E72" s="436"/>
      <c r="F72" s="436"/>
      <c r="G72" s="437" t="s">
        <v>86</v>
      </c>
      <c r="H72" s="466">
        <f>SUM(G66:G71)</f>
        <v>1011500</v>
      </c>
    </row>
    <row r="73" spans="1:14" ht="15.75" thickBot="1">
      <c r="A73" s="450" t="s">
        <v>94</v>
      </c>
      <c r="B73" s="450"/>
      <c r="C73" s="436"/>
      <c r="D73" s="436"/>
      <c r="E73" s="436"/>
      <c r="F73" s="436"/>
      <c r="G73" s="436"/>
      <c r="H73" s="436"/>
    </row>
    <row r="74" spans="1:14">
      <c r="A74" s="1345" t="s">
        <v>95</v>
      </c>
      <c r="B74" s="1346"/>
      <c r="C74" s="1347"/>
      <c r="D74" s="438" t="s">
        <v>88</v>
      </c>
      <c r="E74" s="438" t="s">
        <v>89</v>
      </c>
      <c r="F74" s="438" t="s">
        <v>90</v>
      </c>
      <c r="G74" s="439" t="s">
        <v>84</v>
      </c>
      <c r="H74" s="457"/>
    </row>
    <row r="75" spans="1:14">
      <c r="A75" s="458" t="s">
        <v>592</v>
      </c>
      <c r="B75" s="467"/>
      <c r="C75" s="468"/>
      <c r="D75" s="459" t="s">
        <v>268</v>
      </c>
      <c r="E75" s="674">
        <v>82500</v>
      </c>
      <c r="F75" s="440">
        <f>1/4</f>
        <v>0.25</v>
      </c>
      <c r="G75" s="432">
        <f>E75*F75</f>
        <v>20625</v>
      </c>
      <c r="H75" s="460"/>
      <c r="K75" t="s">
        <v>693</v>
      </c>
      <c r="L75">
        <f>0.5*0.5*0.35</f>
        <v>8.7499999999999994E-2</v>
      </c>
      <c r="M75">
        <v>50</v>
      </c>
      <c r="N75">
        <v>850000</v>
      </c>
    </row>
    <row r="76" spans="1:14" ht="15.75" thickBot="1">
      <c r="A76" s="1342" t="s">
        <v>692</v>
      </c>
      <c r="B76" s="1343"/>
      <c r="C76" s="1344"/>
      <c r="D76" s="475" t="s">
        <v>268</v>
      </c>
      <c r="E76" s="697">
        <f>+PERSONAL!$E$31*PERSONAL!$F$31</f>
        <v>85063.28</v>
      </c>
      <c r="F76" s="434">
        <f>1/8</f>
        <v>0.125</v>
      </c>
      <c r="G76" s="441">
        <f>E76*F76</f>
        <v>10632.91</v>
      </c>
      <c r="H76" s="460"/>
      <c r="L76">
        <f>0.45*0.45*0.45</f>
        <v>9.1125000000000012E-2</v>
      </c>
      <c r="M76">
        <f>(L76*M75)/L75</f>
        <v>52.071428571428577</v>
      </c>
    </row>
    <row r="77" spans="1:14" ht="15.75" thickBot="1">
      <c r="A77" s="436"/>
      <c r="B77" s="436"/>
      <c r="C77" s="436"/>
      <c r="D77" s="436"/>
      <c r="E77" s="436"/>
      <c r="F77" s="436"/>
      <c r="G77" s="437" t="s">
        <v>86</v>
      </c>
      <c r="H77" s="466">
        <f>SUM(G75:G76)</f>
        <v>31257.91</v>
      </c>
    </row>
    <row r="78" spans="1:14" ht="15.75" thickBot="1">
      <c r="A78" s="450" t="s">
        <v>96</v>
      </c>
      <c r="B78" s="450"/>
      <c r="C78" s="436"/>
      <c r="D78" s="436"/>
      <c r="E78" s="436"/>
      <c r="F78" s="436"/>
      <c r="G78" s="436"/>
      <c r="H78" s="436"/>
    </row>
    <row r="79" spans="1:14">
      <c r="A79" s="476" t="s">
        <v>97</v>
      </c>
      <c r="B79" s="438"/>
      <c r="C79" s="438" t="s">
        <v>98</v>
      </c>
      <c r="D79" s="438" t="s">
        <v>99</v>
      </c>
      <c r="E79" s="442" t="s">
        <v>100</v>
      </c>
      <c r="F79" s="443" t="s">
        <v>83</v>
      </c>
      <c r="G79" s="444" t="s">
        <v>84</v>
      </c>
      <c r="H79" s="477"/>
    </row>
    <row r="80" spans="1:14">
      <c r="A80" s="478" t="s">
        <v>227</v>
      </c>
      <c r="B80" s="468"/>
      <c r="C80" s="479">
        <v>48800</v>
      </c>
      <c r="D80" s="480">
        <v>1.7431000000000001</v>
      </c>
      <c r="E80" s="440">
        <v>85063.28</v>
      </c>
      <c r="F80" s="440">
        <v>10</v>
      </c>
      <c r="G80" s="432">
        <f>+E80/F80</f>
        <v>8506.3279999999995</v>
      </c>
      <c r="H80" s="451"/>
    </row>
    <row r="81" spans="1:8">
      <c r="A81" s="478" t="s">
        <v>101</v>
      </c>
      <c r="B81" s="467"/>
      <c r="C81" s="479">
        <v>87200</v>
      </c>
      <c r="D81" s="480">
        <v>1.7431000000000001</v>
      </c>
      <c r="E81" s="440">
        <v>151998.32</v>
      </c>
      <c r="F81" s="440">
        <f>+F80</f>
        <v>10</v>
      </c>
      <c r="G81" s="432">
        <f>+E81/F81</f>
        <v>15199.832</v>
      </c>
      <c r="H81" s="451"/>
    </row>
    <row r="82" spans="1:8">
      <c r="A82" s="478"/>
      <c r="B82" s="468"/>
      <c r="C82" s="430"/>
      <c r="D82" s="459"/>
      <c r="E82" s="430"/>
      <c r="F82" s="440"/>
      <c r="G82" s="445"/>
      <c r="H82" s="451"/>
    </row>
    <row r="83" spans="1:8">
      <c r="A83" s="478"/>
      <c r="B83" s="468"/>
      <c r="C83" s="430"/>
      <c r="D83" s="459"/>
      <c r="E83" s="430"/>
      <c r="F83" s="440"/>
      <c r="G83" s="445"/>
      <c r="H83" s="451"/>
    </row>
    <row r="84" spans="1:8" ht="15.75" thickBot="1">
      <c r="A84" s="481"/>
      <c r="B84" s="474"/>
      <c r="C84" s="474"/>
      <c r="D84" s="474"/>
      <c r="E84" s="474"/>
      <c r="F84" s="474"/>
      <c r="G84" s="482"/>
      <c r="H84" s="482"/>
    </row>
    <row r="85" spans="1:8" ht="15.75" thickBot="1">
      <c r="A85" s="436"/>
      <c r="B85" s="436"/>
      <c r="C85" s="436"/>
      <c r="D85" s="436"/>
      <c r="E85" s="436"/>
      <c r="F85" s="436"/>
      <c r="G85" s="437" t="s">
        <v>86</v>
      </c>
      <c r="H85" s="466">
        <f>SUM(G80:G84)</f>
        <v>23706.16</v>
      </c>
    </row>
    <row r="86" spans="1:8" ht="15.75" thickBot="1">
      <c r="A86" s="436"/>
      <c r="B86" s="436"/>
      <c r="C86" s="436"/>
      <c r="D86" s="436"/>
      <c r="E86" s="436"/>
      <c r="F86" s="436"/>
      <c r="G86" s="483"/>
      <c r="H86" s="436"/>
    </row>
    <row r="87" spans="1:8" ht="15.75" thickBot="1">
      <c r="A87" s="436"/>
      <c r="B87" s="436"/>
      <c r="C87" s="436"/>
      <c r="D87" s="436"/>
      <c r="E87" s="484" t="s">
        <v>102</v>
      </c>
      <c r="F87" s="485"/>
      <c r="G87" s="485"/>
      <c r="H87" s="466">
        <f>H63+H72+H77+H85</f>
        <v>1067649.07</v>
      </c>
    </row>
    <row r="88" spans="1:8" ht="15.75" thickBot="1">
      <c r="A88" s="450" t="s">
        <v>103</v>
      </c>
      <c r="B88" s="450"/>
      <c r="C88" s="436"/>
      <c r="D88" s="436"/>
      <c r="E88" s="436"/>
      <c r="F88" s="436"/>
      <c r="G88" s="436"/>
      <c r="H88" s="436"/>
    </row>
    <row r="89" spans="1:8">
      <c r="A89" s="487" t="s">
        <v>80</v>
      </c>
      <c r="B89" s="488"/>
      <c r="C89" s="488"/>
      <c r="D89" s="488"/>
      <c r="E89" s="489"/>
      <c r="F89" s="490" t="s">
        <v>104</v>
      </c>
      <c r="G89" s="491" t="s">
        <v>105</v>
      </c>
      <c r="H89" s="457"/>
    </row>
    <row r="90" spans="1:8">
      <c r="A90" s="469" t="s">
        <v>106</v>
      </c>
      <c r="B90" s="467"/>
      <c r="C90" s="467"/>
      <c r="D90" s="467"/>
      <c r="E90" s="468"/>
      <c r="F90" s="492">
        <f>PRESUPUESTO!$E$222</f>
        <v>0.109</v>
      </c>
      <c r="G90" s="493">
        <f>+F90*H87</f>
        <v>116373.74863</v>
      </c>
      <c r="H90" s="460"/>
    </row>
    <row r="91" spans="1:8">
      <c r="A91" s="469" t="s">
        <v>107</v>
      </c>
      <c r="B91" s="467"/>
      <c r="C91" s="467"/>
      <c r="D91" s="467"/>
      <c r="E91" s="468"/>
      <c r="F91" s="492">
        <f>PRESUPUESTO!$E$223</f>
        <v>0.05</v>
      </c>
      <c r="G91" s="493">
        <f>+F91*H87</f>
        <v>53382.453500000003</v>
      </c>
      <c r="H91" s="460"/>
    </row>
    <row r="92" spans="1:8" ht="15.75" thickBot="1">
      <c r="A92" s="472" t="s">
        <v>108</v>
      </c>
      <c r="B92" s="473"/>
      <c r="C92" s="473"/>
      <c r="D92" s="473"/>
      <c r="E92" s="474"/>
      <c r="F92" s="494">
        <v>0</v>
      </c>
      <c r="G92" s="495">
        <f>+F92*H87</f>
        <v>0</v>
      </c>
      <c r="H92" s="465"/>
    </row>
    <row r="93" spans="1:8" ht="15.75" thickBot="1">
      <c r="A93" s="436"/>
      <c r="B93" s="436"/>
      <c r="C93" s="436"/>
      <c r="D93" s="436"/>
      <c r="E93" s="436"/>
      <c r="F93" s="436"/>
      <c r="G93" s="437" t="s">
        <v>86</v>
      </c>
      <c r="H93" s="496">
        <f>SUM(G90:G92)</f>
        <v>169756.20212999999</v>
      </c>
    </row>
    <row r="94" spans="1:8" ht="15.75" thickBot="1">
      <c r="A94" s="436"/>
      <c r="B94" s="436"/>
      <c r="C94" s="436"/>
      <c r="D94" s="436"/>
      <c r="E94" s="436"/>
      <c r="F94" s="436"/>
      <c r="G94" s="436"/>
      <c r="H94" s="436"/>
    </row>
    <row r="95" spans="1:8" ht="15.75" thickBot="1">
      <c r="C95" s="436"/>
      <c r="D95" s="484" t="s">
        <v>109</v>
      </c>
      <c r="E95" s="485"/>
      <c r="F95" s="485"/>
      <c r="G95" s="485"/>
      <c r="H95" s="466">
        <f>ROUND((H87+H93),0)</f>
        <v>1237405</v>
      </c>
    </row>
    <row r="97" spans="1:14">
      <c r="A97" s="186" t="s">
        <v>77</v>
      </c>
    </row>
    <row r="98" spans="1:14" ht="15.75" thickBot="1"/>
    <row r="99" spans="1:14">
      <c r="A99" s="1348" t="s">
        <v>213</v>
      </c>
      <c r="B99" s="1349"/>
      <c r="C99" s="1350"/>
      <c r="D99" s="448"/>
      <c r="E99" s="448"/>
      <c r="F99" s="448"/>
      <c r="G99" s="448"/>
      <c r="H99" s="449"/>
    </row>
    <row r="100" spans="1:14">
      <c r="A100" s="1351"/>
      <c r="B100" s="1352"/>
      <c r="C100" s="1353"/>
      <c r="D100" s="436"/>
      <c r="E100" s="450" t="s">
        <v>78</v>
      </c>
      <c r="F100" s="436"/>
      <c r="G100" s="436"/>
      <c r="H100" s="451"/>
    </row>
    <row r="101" spans="1:14" ht="15.75" thickBot="1">
      <c r="A101" s="1354"/>
      <c r="B101" s="1355"/>
      <c r="C101" s="1356"/>
      <c r="D101" s="1360"/>
      <c r="E101" s="1361"/>
      <c r="F101" s="1361"/>
      <c r="G101" s="1361"/>
      <c r="H101" s="1362"/>
    </row>
    <row r="102" spans="1:14">
      <c r="A102" s="455"/>
      <c r="B102" s="436"/>
      <c r="C102" s="436"/>
      <c r="D102" s="436"/>
      <c r="E102" s="436"/>
      <c r="F102" s="436"/>
      <c r="G102" s="436"/>
      <c r="H102" s="436"/>
    </row>
    <row r="103" spans="1:14" s="446" customFormat="1" ht="12.75">
      <c r="A103" s="455" t="s">
        <v>1228</v>
      </c>
      <c r="B103" s="456" t="str">
        <f>+PRESUPUESTO!$B$201</f>
        <v>AMOBLAMIENTO</v>
      </c>
      <c r="C103" s="436"/>
      <c r="E103" s="456"/>
      <c r="G103" s="456" t="s">
        <v>1123</v>
      </c>
      <c r="H103" s="436" t="str">
        <f>+PRESUPUESTO!$A$205</f>
        <v>13.1.3</v>
      </c>
    </row>
    <row r="104" spans="1:14" s="931" customFormat="1" ht="55.9" customHeight="1">
      <c r="A104" s="928" t="s">
        <v>1122</v>
      </c>
      <c r="B104" s="1375" t="str">
        <f>VLOOKUP(H103,PRESUPUESTO!$A$18:$F$251,2,FALSE)</f>
        <v>Suministro e instalación de bancas en concreto prefabricado, concreto a la vista pulido, colores amarillo, rojo, azul y verde. Medidas 45x45x45 cm. Incluye base en concreto de 5 cm o según ficha de fabricación, con soporte en hierro para anclaje al suelo. Escudo del municipio estampado en cara frontal, en 2 cubos de la modulación.</v>
      </c>
      <c r="C104" s="1375"/>
      <c r="D104" s="1375"/>
      <c r="E104" s="1375"/>
      <c r="F104" s="1375"/>
      <c r="G104" s="929" t="s">
        <v>9</v>
      </c>
      <c r="H104" s="1024" t="str">
        <f>VLOOKUP(H103,PRESUPUESTO!$A$18:$F$251,3,FALSE)</f>
        <v>un</v>
      </c>
    </row>
    <row r="105" spans="1:14">
      <c r="A105" s="456"/>
      <c r="B105" s="456"/>
      <c r="C105" s="436"/>
      <c r="D105" s="456"/>
      <c r="E105" s="456"/>
      <c r="F105" s="456"/>
      <c r="G105" s="456"/>
      <c r="H105" s="436"/>
    </row>
    <row r="106" spans="1:14" ht="15.75" thickBot="1">
      <c r="A106" s="450" t="s">
        <v>79</v>
      </c>
      <c r="B106" s="450"/>
      <c r="C106" s="436"/>
      <c r="D106" s="436"/>
      <c r="E106" s="436"/>
      <c r="F106" s="436"/>
      <c r="G106" s="436"/>
      <c r="H106" s="436"/>
    </row>
    <row r="107" spans="1:14">
      <c r="A107" s="1345" t="s">
        <v>80</v>
      </c>
      <c r="B107" s="1346"/>
      <c r="C107" s="1347"/>
      <c r="D107" s="438" t="s">
        <v>81</v>
      </c>
      <c r="E107" s="438" t="s">
        <v>82</v>
      </c>
      <c r="F107" s="438" t="s">
        <v>83</v>
      </c>
      <c r="G107" s="439" t="s">
        <v>84</v>
      </c>
      <c r="H107" s="457"/>
      <c r="I107" s="436"/>
      <c r="K107" s="447"/>
      <c r="L107" s="447"/>
      <c r="M107" s="447"/>
      <c r="N107" s="447"/>
    </row>
    <row r="108" spans="1:14">
      <c r="A108" s="1357" t="s">
        <v>85</v>
      </c>
      <c r="B108" s="1358"/>
      <c r="C108" s="1359"/>
      <c r="D108" s="459"/>
      <c r="E108" s="440"/>
      <c r="F108" s="440"/>
      <c r="G108" s="432">
        <f>ROUND(H133*0.05,0)</f>
        <v>1185</v>
      </c>
      <c r="H108" s="460"/>
      <c r="I108" s="436"/>
      <c r="K108" s="447"/>
      <c r="L108" s="447"/>
      <c r="M108" s="447"/>
      <c r="N108" s="447"/>
    </row>
    <row r="109" spans="1:14">
      <c r="A109" s="1357"/>
      <c r="B109" s="1358"/>
      <c r="C109" s="1359"/>
      <c r="D109" s="461"/>
      <c r="E109" s="462"/>
      <c r="F109" s="440"/>
      <c r="G109" s="432"/>
      <c r="H109" s="460"/>
      <c r="I109" s="436"/>
      <c r="K109" s="447"/>
      <c r="L109" s="447"/>
      <c r="M109" s="447"/>
      <c r="N109" s="447"/>
    </row>
    <row r="110" spans="1:14" ht="15.75" thickBot="1">
      <c r="A110" s="1342"/>
      <c r="B110" s="1343"/>
      <c r="C110" s="1344"/>
      <c r="D110" s="464"/>
      <c r="E110" s="433"/>
      <c r="F110" s="434"/>
      <c r="G110" s="441"/>
      <c r="H110" s="465"/>
      <c r="L110" s="503"/>
    </row>
    <row r="111" spans="1:14" ht="15.75" thickBot="1">
      <c r="A111" s="436"/>
      <c r="B111" s="436"/>
      <c r="C111" s="436"/>
      <c r="D111" s="436"/>
      <c r="E111" s="436"/>
      <c r="F111" s="436"/>
      <c r="G111" s="437" t="s">
        <v>86</v>
      </c>
      <c r="H111" s="466">
        <f>SUM(G108:G110)</f>
        <v>1185</v>
      </c>
      <c r="L111" s="552"/>
    </row>
    <row r="112" spans="1:14" ht="15.75" thickBot="1">
      <c r="A112" s="450" t="s">
        <v>87</v>
      </c>
      <c r="B112" s="450"/>
      <c r="C112" s="436"/>
      <c r="D112" s="436"/>
      <c r="E112" s="436"/>
      <c r="F112" s="436"/>
      <c r="G112" s="436"/>
      <c r="H112" s="436"/>
      <c r="L112" s="552"/>
    </row>
    <row r="113" spans="1:14">
      <c r="A113" s="1345" t="s">
        <v>80</v>
      </c>
      <c r="B113" s="1346"/>
      <c r="C113" s="1347"/>
      <c r="D113" s="438" t="s">
        <v>88</v>
      </c>
      <c r="E113" s="438" t="s">
        <v>89</v>
      </c>
      <c r="F113" s="438" t="s">
        <v>90</v>
      </c>
      <c r="G113" s="439" t="s">
        <v>84</v>
      </c>
      <c r="H113" s="457"/>
      <c r="L113" s="545"/>
    </row>
    <row r="114" spans="1:14">
      <c r="A114" s="458" t="s">
        <v>269</v>
      </c>
      <c r="B114" s="467"/>
      <c r="C114" s="468"/>
      <c r="D114" s="459" t="s">
        <v>268</v>
      </c>
      <c r="E114" s="674">
        <f>950000*1.19+80000</f>
        <v>1210500</v>
      </c>
      <c r="F114" s="440">
        <v>1</v>
      </c>
      <c r="G114" s="432">
        <f>E114*F114</f>
        <v>1210500</v>
      </c>
      <c r="H114" s="460"/>
      <c r="J114" s="430">
        <f>1.2*226100</f>
        <v>271320</v>
      </c>
    </row>
    <row r="115" spans="1:14">
      <c r="A115" s="469"/>
      <c r="B115" s="467"/>
      <c r="C115" s="468"/>
      <c r="D115" s="459"/>
      <c r="E115" s="430"/>
      <c r="F115" s="431"/>
      <c r="G115" s="432"/>
      <c r="H115" s="460"/>
    </row>
    <row r="116" spans="1:14">
      <c r="A116" s="469" t="s">
        <v>93</v>
      </c>
      <c r="B116" s="467"/>
      <c r="C116" s="471">
        <v>0.05</v>
      </c>
      <c r="D116" s="459"/>
      <c r="E116" s="430"/>
      <c r="F116" s="431"/>
      <c r="G116" s="432"/>
      <c r="H116" s="460"/>
    </row>
    <row r="117" spans="1:14">
      <c r="A117" s="469"/>
      <c r="B117" s="467"/>
      <c r="C117" s="468"/>
      <c r="D117" s="459"/>
      <c r="E117" s="430"/>
      <c r="F117" s="431"/>
      <c r="G117" s="432"/>
      <c r="H117" s="460"/>
    </row>
    <row r="118" spans="1:14">
      <c r="A118" s="469"/>
      <c r="B118" s="467"/>
      <c r="C118" s="468"/>
      <c r="D118" s="459"/>
      <c r="E118" s="430"/>
      <c r="F118" s="431"/>
      <c r="G118" s="432"/>
      <c r="H118" s="460"/>
    </row>
    <row r="119" spans="1:14" ht="15.75" thickBot="1">
      <c r="A119" s="472"/>
      <c r="B119" s="473"/>
      <c r="C119" s="474"/>
      <c r="D119" s="464"/>
      <c r="E119" s="433"/>
      <c r="F119" s="434"/>
      <c r="G119" s="435"/>
      <c r="H119" s="465"/>
    </row>
    <row r="120" spans="1:14" ht="15.75" thickBot="1">
      <c r="A120" s="436"/>
      <c r="B120" s="436"/>
      <c r="C120" s="436"/>
      <c r="D120" s="436"/>
      <c r="E120" s="436"/>
      <c r="F120" s="436"/>
      <c r="G120" s="437" t="s">
        <v>86</v>
      </c>
      <c r="H120" s="466">
        <f>SUM(G114:G119)</f>
        <v>1210500</v>
      </c>
    </row>
    <row r="121" spans="1:14" ht="15.75" thickBot="1">
      <c r="A121" s="450" t="s">
        <v>94</v>
      </c>
      <c r="B121" s="450"/>
      <c r="C121" s="436"/>
      <c r="D121" s="436"/>
      <c r="E121" s="436"/>
      <c r="F121" s="436"/>
      <c r="G121" s="436"/>
      <c r="H121" s="436"/>
    </row>
    <row r="122" spans="1:14">
      <c r="A122" s="1345" t="s">
        <v>95</v>
      </c>
      <c r="B122" s="1346"/>
      <c r="C122" s="1347"/>
      <c r="D122" s="438" t="s">
        <v>88</v>
      </c>
      <c r="E122" s="438" t="s">
        <v>89</v>
      </c>
      <c r="F122" s="438" t="s">
        <v>90</v>
      </c>
      <c r="G122" s="439" t="s">
        <v>84</v>
      </c>
      <c r="H122" s="457"/>
    </row>
    <row r="123" spans="1:14">
      <c r="A123" s="458" t="s">
        <v>592</v>
      </c>
      <c r="B123" s="467"/>
      <c r="C123" s="468"/>
      <c r="D123" s="459" t="s">
        <v>268</v>
      </c>
      <c r="E123" s="674">
        <v>82500</v>
      </c>
      <c r="F123" s="440">
        <f>1/4</f>
        <v>0.25</v>
      </c>
      <c r="G123" s="432">
        <f>E123*F123</f>
        <v>20625</v>
      </c>
      <c r="H123" s="460"/>
      <c r="K123" t="s">
        <v>693</v>
      </c>
      <c r="L123">
        <f>0.5*0.5*0.35</f>
        <v>8.7499999999999994E-2</v>
      </c>
      <c r="M123">
        <v>50</v>
      </c>
      <c r="N123">
        <v>850000</v>
      </c>
    </row>
    <row r="124" spans="1:14" ht="15.75" thickBot="1">
      <c r="A124" s="1342" t="s">
        <v>692</v>
      </c>
      <c r="B124" s="1343"/>
      <c r="C124" s="1344"/>
      <c r="D124" s="475" t="s">
        <v>268</v>
      </c>
      <c r="E124" s="697">
        <f>+PERSONAL!$E$31*PERSONAL!$F$31</f>
        <v>85063.28</v>
      </c>
      <c r="F124" s="434">
        <f>1/8</f>
        <v>0.125</v>
      </c>
      <c r="G124" s="441">
        <f>E124*F124</f>
        <v>10632.91</v>
      </c>
      <c r="H124" s="460"/>
      <c r="L124">
        <f>0.45*0.45*0.45</f>
        <v>9.1125000000000012E-2</v>
      </c>
      <c r="M124">
        <f>(L124*M123)/L123</f>
        <v>52.071428571428577</v>
      </c>
    </row>
    <row r="125" spans="1:14" ht="15.75" thickBot="1">
      <c r="A125" s="436"/>
      <c r="B125" s="436"/>
      <c r="C125" s="436"/>
      <c r="D125" s="436"/>
      <c r="E125" s="436"/>
      <c r="F125" s="436"/>
      <c r="G125" s="437" t="s">
        <v>86</v>
      </c>
      <c r="H125" s="466">
        <f>SUM(G123:G124)</f>
        <v>31257.91</v>
      </c>
      <c r="L125">
        <f>+L124/L174</f>
        <v>0.63281250000000011</v>
      </c>
    </row>
    <row r="126" spans="1:14" ht="15.75" thickBot="1">
      <c r="A126" s="450" t="s">
        <v>96</v>
      </c>
      <c r="B126" s="450"/>
      <c r="C126" s="436"/>
      <c r="D126" s="436"/>
      <c r="E126" s="436"/>
      <c r="F126" s="436"/>
      <c r="G126" s="436"/>
      <c r="H126" s="436"/>
    </row>
    <row r="127" spans="1:14">
      <c r="A127" s="476" t="s">
        <v>97</v>
      </c>
      <c r="B127" s="438"/>
      <c r="C127" s="438" t="s">
        <v>98</v>
      </c>
      <c r="D127" s="438" t="s">
        <v>99</v>
      </c>
      <c r="E127" s="442" t="s">
        <v>100</v>
      </c>
      <c r="F127" s="443" t="s">
        <v>83</v>
      </c>
      <c r="G127" s="444" t="s">
        <v>84</v>
      </c>
      <c r="H127" s="477"/>
    </row>
    <row r="128" spans="1:14">
      <c r="A128" s="478" t="s">
        <v>227</v>
      </c>
      <c r="B128" s="468"/>
      <c r="C128" s="479">
        <v>48800</v>
      </c>
      <c r="D128" s="480">
        <v>1.7431000000000001</v>
      </c>
      <c r="E128" s="440">
        <v>85063.28</v>
      </c>
      <c r="F128" s="440">
        <v>10</v>
      </c>
      <c r="G128" s="432">
        <f t="shared" ref="G128:G129" si="0">+E128/F128</f>
        <v>8506.3279999999995</v>
      </c>
      <c r="H128" s="451"/>
    </row>
    <row r="129" spans="1:8">
      <c r="A129" s="478" t="s">
        <v>101</v>
      </c>
      <c r="B129" s="467"/>
      <c r="C129" s="479">
        <v>87200</v>
      </c>
      <c r="D129" s="480">
        <v>1.7431000000000001</v>
      </c>
      <c r="E129" s="440">
        <v>151998.32</v>
      </c>
      <c r="F129" s="440">
        <f>+F128</f>
        <v>10</v>
      </c>
      <c r="G129" s="432">
        <f t="shared" si="0"/>
        <v>15199.832</v>
      </c>
      <c r="H129" s="451"/>
    </row>
    <row r="130" spans="1:8">
      <c r="A130" s="478"/>
      <c r="B130" s="468"/>
      <c r="C130" s="430"/>
      <c r="D130" s="459"/>
      <c r="E130" s="430"/>
      <c r="F130" s="440"/>
      <c r="G130" s="445"/>
      <c r="H130" s="451"/>
    </row>
    <row r="131" spans="1:8">
      <c r="A131" s="478"/>
      <c r="B131" s="468"/>
      <c r="C131" s="430"/>
      <c r="D131" s="459"/>
      <c r="E131" s="430"/>
      <c r="F131" s="440"/>
      <c r="G131" s="445"/>
      <c r="H131" s="451"/>
    </row>
    <row r="132" spans="1:8" ht="15.75" thickBot="1">
      <c r="A132" s="481"/>
      <c r="B132" s="474"/>
      <c r="C132" s="474"/>
      <c r="D132" s="474"/>
      <c r="E132" s="474"/>
      <c r="F132" s="474"/>
      <c r="G132" s="482"/>
      <c r="H132" s="482"/>
    </row>
    <row r="133" spans="1:8" ht="15.75" thickBot="1">
      <c r="A133" s="436"/>
      <c r="B133" s="436"/>
      <c r="C133" s="436"/>
      <c r="D133" s="436"/>
      <c r="E133" s="436"/>
      <c r="F133" s="436"/>
      <c r="G133" s="437" t="s">
        <v>86</v>
      </c>
      <c r="H133" s="466">
        <f>SUM(G128:G132)</f>
        <v>23706.16</v>
      </c>
    </row>
    <row r="134" spans="1:8" ht="15.75" thickBot="1">
      <c r="A134" s="436"/>
      <c r="B134" s="436"/>
      <c r="C134" s="436"/>
      <c r="D134" s="436"/>
      <c r="E134" s="436"/>
      <c r="F134" s="436"/>
      <c r="G134" s="483"/>
      <c r="H134" s="436"/>
    </row>
    <row r="135" spans="1:8" ht="15.75" thickBot="1">
      <c r="A135" s="436"/>
      <c r="B135" s="436"/>
      <c r="C135" s="436"/>
      <c r="D135" s="436"/>
      <c r="E135" s="484" t="s">
        <v>102</v>
      </c>
      <c r="F135" s="485"/>
      <c r="G135" s="485"/>
      <c r="H135" s="466">
        <f>H111+H120+H125+H133</f>
        <v>1266649.0699999998</v>
      </c>
    </row>
    <row r="136" spans="1:8" ht="15.75" thickBot="1">
      <c r="A136" s="450" t="s">
        <v>103</v>
      </c>
      <c r="B136" s="450"/>
      <c r="C136" s="436"/>
      <c r="D136" s="436"/>
      <c r="E136" s="436"/>
      <c r="F136" s="436"/>
      <c r="G136" s="436"/>
      <c r="H136" s="436"/>
    </row>
    <row r="137" spans="1:8">
      <c r="A137" s="487" t="s">
        <v>80</v>
      </c>
      <c r="B137" s="488"/>
      <c r="C137" s="488"/>
      <c r="D137" s="488"/>
      <c r="E137" s="489"/>
      <c r="F137" s="490" t="s">
        <v>104</v>
      </c>
      <c r="G137" s="491" t="s">
        <v>105</v>
      </c>
      <c r="H137" s="457"/>
    </row>
    <row r="138" spans="1:8">
      <c r="A138" s="469" t="s">
        <v>106</v>
      </c>
      <c r="B138" s="467"/>
      <c r="C138" s="467"/>
      <c r="D138" s="467"/>
      <c r="E138" s="468"/>
      <c r="F138" s="492">
        <f>PRESUPUESTO!$E$222</f>
        <v>0.109</v>
      </c>
      <c r="G138" s="493">
        <f>+F138*H135</f>
        <v>138064.74862999999</v>
      </c>
      <c r="H138" s="460"/>
    </row>
    <row r="139" spans="1:8">
      <c r="A139" s="469" t="s">
        <v>107</v>
      </c>
      <c r="B139" s="467"/>
      <c r="C139" s="467"/>
      <c r="D139" s="467"/>
      <c r="E139" s="468"/>
      <c r="F139" s="492">
        <f>PRESUPUESTO!$E$223</f>
        <v>0.05</v>
      </c>
      <c r="G139" s="493">
        <f>+F139*H135</f>
        <v>63332.453499999996</v>
      </c>
      <c r="H139" s="460"/>
    </row>
    <row r="140" spans="1:8" ht="15.75" thickBot="1">
      <c r="A140" s="472" t="s">
        <v>108</v>
      </c>
      <c r="B140" s="473"/>
      <c r="C140" s="473"/>
      <c r="D140" s="473"/>
      <c r="E140" s="474"/>
      <c r="F140" s="494">
        <v>0</v>
      </c>
      <c r="G140" s="495">
        <f>+F140*H135</f>
        <v>0</v>
      </c>
      <c r="H140" s="465"/>
    </row>
    <row r="141" spans="1:8" ht="15.75" thickBot="1">
      <c r="A141" s="436"/>
      <c r="B141" s="436"/>
      <c r="C141" s="436"/>
      <c r="D141" s="436"/>
      <c r="E141" s="436"/>
      <c r="F141" s="436"/>
      <c r="G141" s="437" t="s">
        <v>86</v>
      </c>
      <c r="H141" s="496">
        <f>SUM(G138:G140)</f>
        <v>201397.20212999999</v>
      </c>
    </row>
    <row r="142" spans="1:8" ht="15.75" thickBot="1">
      <c r="A142" s="436"/>
      <c r="B142" s="436"/>
      <c r="C142" s="436"/>
      <c r="D142" s="436"/>
      <c r="E142" s="436"/>
      <c r="F142" s="436"/>
      <c r="G142" s="436"/>
      <c r="H142" s="436"/>
    </row>
    <row r="143" spans="1:8" ht="15.75" thickBot="1">
      <c r="C143" s="436"/>
      <c r="D143" s="484" t="s">
        <v>109</v>
      </c>
      <c r="E143" s="485"/>
      <c r="F143" s="485"/>
      <c r="G143" s="485"/>
      <c r="H143" s="466">
        <f>ROUND((H135+H141),0)</f>
        <v>1468046</v>
      </c>
    </row>
    <row r="145" spans="1:8">
      <c r="A145" s="186" t="s">
        <v>77</v>
      </c>
    </row>
    <row r="146" spans="1:8" ht="15.75" thickBot="1"/>
    <row r="147" spans="1:8">
      <c r="A147" s="1348" t="s">
        <v>213</v>
      </c>
      <c r="B147" s="1349"/>
      <c r="C147" s="1350"/>
      <c r="D147" s="448"/>
      <c r="E147" s="448"/>
      <c r="F147" s="448"/>
      <c r="G147" s="448"/>
      <c r="H147" s="449"/>
    </row>
    <row r="148" spans="1:8">
      <c r="A148" s="1351"/>
      <c r="B148" s="1352"/>
      <c r="C148" s="1353"/>
      <c r="D148" s="436"/>
      <c r="E148" s="450" t="s">
        <v>78</v>
      </c>
      <c r="F148" s="436"/>
      <c r="G148" s="436"/>
      <c r="H148" s="451"/>
    </row>
    <row r="149" spans="1:8" ht="15.75" thickBot="1">
      <c r="A149" s="1354"/>
      <c r="B149" s="1355"/>
      <c r="C149" s="1356"/>
      <c r="D149" s="1360"/>
      <c r="E149" s="1361"/>
      <c r="F149" s="1361"/>
      <c r="G149" s="1361"/>
      <c r="H149" s="1362"/>
    </row>
    <row r="150" spans="1:8">
      <c r="A150" s="455"/>
      <c r="B150" s="436"/>
      <c r="C150" s="436"/>
      <c r="D150" s="436"/>
      <c r="E150" s="436"/>
      <c r="F150" s="436"/>
      <c r="G150" s="436"/>
      <c r="H150" s="436"/>
    </row>
    <row r="151" spans="1:8" s="446" customFormat="1" ht="12.75">
      <c r="A151" s="455" t="s">
        <v>1228</v>
      </c>
      <c r="B151" s="456" t="str">
        <f>+PRESUPUESTO!$B$201</f>
        <v>AMOBLAMIENTO</v>
      </c>
      <c r="C151" s="436"/>
      <c r="E151" s="456"/>
      <c r="G151" s="456" t="s">
        <v>1123</v>
      </c>
      <c r="H151" s="436" t="str">
        <f>+PRESUPUESTO!$A$206</f>
        <v>13.1.4</v>
      </c>
    </row>
    <row r="152" spans="1:8" s="931" customFormat="1" ht="55.9" customHeight="1">
      <c r="A152" s="928" t="s">
        <v>1122</v>
      </c>
      <c r="B152" s="1375" t="str">
        <f>VLOOKUP(H151,PRESUPUESTO!$A$18:$F$251,2,FALSE)</f>
        <v>Suministro e instalación de bancas en concreto prefabricada, sencilla angular de 60x40x6 cm de colores gris, negro, ocre, marron, amarillo y verde. Para sombrillas. Nota: Cada unidad de sillas, contiene 6 sillas de los colores especificados.</v>
      </c>
      <c r="C152" s="1375"/>
      <c r="D152" s="1375"/>
      <c r="E152" s="1375"/>
      <c r="F152" s="1375"/>
      <c r="G152" s="929" t="s">
        <v>9</v>
      </c>
      <c r="H152" s="1024" t="str">
        <f>VLOOKUP(H151,PRESUPUESTO!$A$18:$F$251,3,FALSE)</f>
        <v>un</v>
      </c>
    </row>
    <row r="153" spans="1:8">
      <c r="A153" s="456"/>
      <c r="B153" s="456"/>
      <c r="C153" s="436"/>
      <c r="D153" s="456"/>
      <c r="E153" s="456"/>
      <c r="F153" s="456"/>
      <c r="G153" s="456"/>
      <c r="H153" s="436"/>
    </row>
    <row r="154" spans="1:8" ht="15.75" thickBot="1">
      <c r="A154" s="450" t="s">
        <v>79</v>
      </c>
      <c r="B154" s="450"/>
      <c r="C154" s="436"/>
      <c r="D154" s="436"/>
      <c r="E154" s="436"/>
      <c r="F154" s="436"/>
      <c r="G154" s="436"/>
      <c r="H154" s="436"/>
    </row>
    <row r="155" spans="1:8">
      <c r="A155" s="1345" t="s">
        <v>80</v>
      </c>
      <c r="B155" s="1346"/>
      <c r="C155" s="1347"/>
      <c r="D155" s="438" t="s">
        <v>81</v>
      </c>
      <c r="E155" s="438" t="s">
        <v>82</v>
      </c>
      <c r="F155" s="438" t="s">
        <v>83</v>
      </c>
      <c r="G155" s="439" t="s">
        <v>84</v>
      </c>
      <c r="H155" s="457"/>
    </row>
    <row r="156" spans="1:8">
      <c r="A156" s="1357" t="s">
        <v>85</v>
      </c>
      <c r="B156" s="1358"/>
      <c r="C156" s="1359"/>
      <c r="D156" s="459"/>
      <c r="E156" s="440"/>
      <c r="F156" s="440"/>
      <c r="G156" s="432">
        <f>ROUND(H183*0.05,0)</f>
        <v>4254</v>
      </c>
      <c r="H156" s="460"/>
    </row>
    <row r="157" spans="1:8">
      <c r="A157" s="1357"/>
      <c r="B157" s="1358"/>
      <c r="C157" s="1359"/>
      <c r="D157" s="461"/>
      <c r="E157" s="462"/>
      <c r="F157" s="440"/>
      <c r="G157" s="432"/>
      <c r="H157" s="460"/>
    </row>
    <row r="158" spans="1:8" ht="15.75" thickBot="1">
      <c r="A158" s="1342"/>
      <c r="B158" s="1343"/>
      <c r="C158" s="1344"/>
      <c r="D158" s="464"/>
      <c r="E158" s="433"/>
      <c r="F158" s="434"/>
      <c r="G158" s="441"/>
      <c r="H158" s="465"/>
    </row>
    <row r="159" spans="1:8" ht="15.75" thickBot="1">
      <c r="A159" s="436"/>
      <c r="B159" s="436"/>
      <c r="C159" s="436"/>
      <c r="D159" s="436"/>
      <c r="E159" s="436"/>
      <c r="F159" s="436"/>
      <c r="G159" s="437" t="s">
        <v>86</v>
      </c>
      <c r="H159" s="466">
        <f>SUM(G156:G158)</f>
        <v>4254</v>
      </c>
    </row>
    <row r="160" spans="1:8" ht="15.75" thickBot="1">
      <c r="A160" s="450" t="s">
        <v>87</v>
      </c>
      <c r="B160" s="450"/>
      <c r="C160" s="436"/>
      <c r="D160" s="436"/>
      <c r="E160" s="436"/>
      <c r="F160" s="436"/>
      <c r="G160" s="436"/>
      <c r="H160" s="436"/>
    </row>
    <row r="161" spans="1:13">
      <c r="A161" s="1345" t="s">
        <v>80</v>
      </c>
      <c r="B161" s="1346"/>
      <c r="C161" s="1347"/>
      <c r="D161" s="438" t="s">
        <v>88</v>
      </c>
      <c r="E161" s="438" t="s">
        <v>89</v>
      </c>
      <c r="F161" s="438" t="s">
        <v>90</v>
      </c>
      <c r="G161" s="439" t="s">
        <v>84</v>
      </c>
      <c r="H161" s="457"/>
    </row>
    <row r="162" spans="1:13">
      <c r="A162" s="458" t="s">
        <v>584</v>
      </c>
      <c r="B162" s="467"/>
      <c r="C162" s="468"/>
      <c r="D162" s="459" t="s">
        <v>268</v>
      </c>
      <c r="E162" s="674">
        <f>708415*1.19</f>
        <v>843013.85</v>
      </c>
      <c r="F162" s="440">
        <v>1</v>
      </c>
      <c r="G162" s="432">
        <f t="shared" ref="G162:G168" si="1">E162*F162</f>
        <v>843013.85</v>
      </c>
      <c r="H162" s="460"/>
    </row>
    <row r="163" spans="1:13">
      <c r="A163" s="469" t="s">
        <v>585</v>
      </c>
      <c r="B163" s="467"/>
      <c r="C163" s="468"/>
      <c r="D163" s="459" t="s">
        <v>268</v>
      </c>
      <c r="E163" s="674">
        <f>544103*1.19</f>
        <v>647482.56999999995</v>
      </c>
      <c r="F163" s="440">
        <v>1</v>
      </c>
      <c r="G163" s="432">
        <f t="shared" si="1"/>
        <v>647482.56999999995</v>
      </c>
      <c r="H163" s="460"/>
    </row>
    <row r="164" spans="1:13">
      <c r="A164" s="469" t="s">
        <v>586</v>
      </c>
      <c r="B164" s="467"/>
      <c r="C164" s="471"/>
      <c r="D164" s="459" t="s">
        <v>268</v>
      </c>
      <c r="E164" s="674">
        <f>708415*1.19</f>
        <v>843013.85</v>
      </c>
      <c r="F164" s="440">
        <v>1</v>
      </c>
      <c r="G164" s="432">
        <f t="shared" si="1"/>
        <v>843013.85</v>
      </c>
      <c r="H164" s="460"/>
    </row>
    <row r="165" spans="1:13">
      <c r="A165" s="469" t="s">
        <v>587</v>
      </c>
      <c r="B165" s="467"/>
      <c r="C165" s="468"/>
      <c r="D165" s="459" t="s">
        <v>268</v>
      </c>
      <c r="E165" s="674">
        <f>520448*1.19</f>
        <v>619333.12</v>
      </c>
      <c r="F165" s="440">
        <v>1</v>
      </c>
      <c r="G165" s="432">
        <f t="shared" si="1"/>
        <v>619333.12</v>
      </c>
      <c r="H165" s="460"/>
    </row>
    <row r="166" spans="1:13">
      <c r="A166" s="469" t="s">
        <v>589</v>
      </c>
      <c r="B166" s="467"/>
      <c r="C166" s="468"/>
      <c r="D166" s="459" t="s">
        <v>268</v>
      </c>
      <c r="E166" s="674">
        <f>708415*1.19</f>
        <v>843013.85</v>
      </c>
      <c r="F166" s="440">
        <v>1</v>
      </c>
      <c r="G166" s="432">
        <f t="shared" si="1"/>
        <v>843013.85</v>
      </c>
      <c r="H166" s="460"/>
    </row>
    <row r="167" spans="1:13">
      <c r="A167" s="469" t="s">
        <v>588</v>
      </c>
      <c r="B167" s="467"/>
      <c r="C167" s="471"/>
      <c r="D167" s="459" t="s">
        <v>268</v>
      </c>
      <c r="E167" s="674">
        <f>708415*1.19</f>
        <v>843013.85</v>
      </c>
      <c r="F167" s="440">
        <v>1</v>
      </c>
      <c r="G167" s="432">
        <f t="shared" si="1"/>
        <v>843013.85</v>
      </c>
      <c r="H167" s="460"/>
    </row>
    <row r="168" spans="1:13">
      <c r="A168" s="469" t="s">
        <v>702</v>
      </c>
      <c r="B168" s="467"/>
      <c r="C168" s="471"/>
      <c r="D168" s="459" t="s">
        <v>268</v>
      </c>
      <c r="E168" s="674">
        <f>708415*1.19</f>
        <v>843013.85</v>
      </c>
      <c r="F168" s="440">
        <v>1</v>
      </c>
      <c r="G168" s="432">
        <f t="shared" si="1"/>
        <v>843013.85</v>
      </c>
      <c r="H168" s="460"/>
    </row>
    <row r="169" spans="1:13" ht="15.75" thickBot="1">
      <c r="A169" s="499" t="s">
        <v>93</v>
      </c>
      <c r="B169" s="500"/>
      <c r="C169" s="558">
        <v>0.05</v>
      </c>
      <c r="D169" s="464"/>
      <c r="E169" s="433"/>
      <c r="F169" s="434"/>
      <c r="G169" s="441"/>
      <c r="H169" s="465"/>
    </row>
    <row r="170" spans="1:13" ht="15.75" thickBot="1">
      <c r="A170" s="436"/>
      <c r="B170" s="436"/>
      <c r="C170" s="436"/>
      <c r="D170" s="436"/>
      <c r="E170" s="436"/>
      <c r="F170" s="436"/>
      <c r="G170" s="437" t="s">
        <v>86</v>
      </c>
      <c r="H170" s="466">
        <f>SUM(G162:G169)</f>
        <v>5481884.9399999995</v>
      </c>
    </row>
    <row r="171" spans="1:13" ht="15.75" thickBot="1">
      <c r="A171" s="450" t="s">
        <v>94</v>
      </c>
      <c r="B171" s="450"/>
      <c r="C171" s="436"/>
      <c r="D171" s="436"/>
      <c r="E171" s="436"/>
      <c r="F171" s="436"/>
      <c r="G171" s="436"/>
      <c r="H171" s="436"/>
    </row>
    <row r="172" spans="1:13">
      <c r="A172" s="1345" t="s">
        <v>95</v>
      </c>
      <c r="B172" s="1346"/>
      <c r="C172" s="1347"/>
      <c r="D172" s="438" t="s">
        <v>88</v>
      </c>
      <c r="E172" s="438" t="s">
        <v>89</v>
      </c>
      <c r="F172" s="438" t="s">
        <v>90</v>
      </c>
      <c r="G172" s="439" t="s">
        <v>84</v>
      </c>
      <c r="H172" s="457"/>
    </row>
    <row r="173" spans="1:13">
      <c r="A173" s="458" t="s">
        <v>592</v>
      </c>
      <c r="B173" s="467"/>
      <c r="C173" s="468"/>
      <c r="D173" s="459" t="s">
        <v>268</v>
      </c>
      <c r="E173" s="430">
        <v>18500</v>
      </c>
      <c r="F173" s="440">
        <v>7</v>
      </c>
      <c r="G173" s="432">
        <f>E173*F173</f>
        <v>129500</v>
      </c>
      <c r="H173" s="460"/>
      <c r="K173" t="s">
        <v>693</v>
      </c>
      <c r="L173">
        <f>0.5*0.5*0.35</f>
        <v>8.7499999999999994E-2</v>
      </c>
      <c r="M173">
        <v>50</v>
      </c>
    </row>
    <row r="174" spans="1:13" ht="15.75" thickBot="1">
      <c r="A174" s="1342" t="s">
        <v>692</v>
      </c>
      <c r="B174" s="1343"/>
      <c r="C174" s="1344"/>
      <c r="D174" s="475" t="s">
        <v>268</v>
      </c>
      <c r="E174" s="433">
        <f>280000</f>
        <v>280000</v>
      </c>
      <c r="F174" s="434">
        <v>0.26</v>
      </c>
      <c r="G174" s="441">
        <f>E174*F174</f>
        <v>72800</v>
      </c>
      <c r="H174" s="460"/>
      <c r="L174">
        <f>0.6*0.4*0.6</f>
        <v>0.14399999999999999</v>
      </c>
      <c r="M174">
        <f>(L174*M173)/L173</f>
        <v>82.285714285714278</v>
      </c>
    </row>
    <row r="175" spans="1:13" ht="15.75" thickBot="1">
      <c r="A175" s="436"/>
      <c r="B175" s="436"/>
      <c r="C175" s="436"/>
      <c r="D175" s="436"/>
      <c r="E175" s="436"/>
      <c r="F175" s="436"/>
      <c r="G175" s="437" t="s">
        <v>86</v>
      </c>
      <c r="H175" s="466">
        <f>SUM(G173:G174)</f>
        <v>202300</v>
      </c>
    </row>
    <row r="176" spans="1:13" ht="15.75" thickBot="1">
      <c r="A176" s="450" t="s">
        <v>96</v>
      </c>
      <c r="B176" s="450"/>
      <c r="C176" s="436"/>
      <c r="D176" s="436"/>
      <c r="E176" s="436"/>
      <c r="F176" s="436"/>
      <c r="G176" s="436"/>
      <c r="H176" s="436"/>
    </row>
    <row r="177" spans="1:8">
      <c r="A177" s="476" t="s">
        <v>97</v>
      </c>
      <c r="B177" s="438"/>
      <c r="C177" s="438" t="s">
        <v>98</v>
      </c>
      <c r="D177" s="438" t="s">
        <v>99</v>
      </c>
      <c r="E177" s="442" t="s">
        <v>100</v>
      </c>
      <c r="F177" s="443" t="s">
        <v>83</v>
      </c>
      <c r="G177" s="444" t="s">
        <v>84</v>
      </c>
      <c r="H177" s="477"/>
    </row>
    <row r="178" spans="1:8">
      <c r="A178" s="478" t="s">
        <v>101</v>
      </c>
      <c r="B178" s="468">
        <v>1</v>
      </c>
      <c r="C178" s="479">
        <f>PERSONAL!$E$32</f>
        <v>87200</v>
      </c>
      <c r="D178" s="480">
        <v>1.8769294394636016</v>
      </c>
      <c r="E178" s="440">
        <f>+D178*C178</f>
        <v>163668.24712122607</v>
      </c>
      <c r="F178" s="440">
        <v>3</v>
      </c>
      <c r="G178" s="445">
        <f>ROUND(E178/F178,0)</f>
        <v>54556</v>
      </c>
      <c r="H178" s="451"/>
    </row>
    <row r="179" spans="1:8">
      <c r="A179" s="478" t="s">
        <v>227</v>
      </c>
      <c r="B179" s="467">
        <v>1</v>
      </c>
      <c r="C179" s="479">
        <f>+PERSONAL!$E$31</f>
        <v>48800</v>
      </c>
      <c r="D179" s="480">
        <v>1.8769294394636016</v>
      </c>
      <c r="E179" s="440">
        <f>+D179*C179</f>
        <v>91594.15664582375</v>
      </c>
      <c r="F179" s="440">
        <f>+F178</f>
        <v>3</v>
      </c>
      <c r="G179" s="445">
        <f>ROUND(E179/F179,0)</f>
        <v>30531</v>
      </c>
      <c r="H179" s="451"/>
    </row>
    <row r="180" spans="1:8">
      <c r="A180" s="478"/>
      <c r="B180" s="468"/>
      <c r="C180" s="430"/>
      <c r="D180" s="459"/>
      <c r="E180" s="430"/>
      <c r="F180" s="440"/>
      <c r="G180" s="445"/>
      <c r="H180" s="451"/>
    </row>
    <row r="181" spans="1:8">
      <c r="A181" s="478"/>
      <c r="B181" s="468"/>
      <c r="C181" s="430"/>
      <c r="D181" s="459"/>
      <c r="E181" s="430"/>
      <c r="F181" s="440"/>
      <c r="G181" s="445"/>
      <c r="H181" s="451"/>
    </row>
    <row r="182" spans="1:8" ht="15.75" thickBot="1">
      <c r="A182" s="481"/>
      <c r="B182" s="474"/>
      <c r="C182" s="474"/>
      <c r="D182" s="474"/>
      <c r="E182" s="474"/>
      <c r="F182" s="474"/>
      <c r="G182" s="482"/>
      <c r="H182" s="482"/>
    </row>
    <row r="183" spans="1:8" ht="15.75" thickBot="1">
      <c r="A183" s="436"/>
      <c r="B183" s="436"/>
      <c r="C183" s="436"/>
      <c r="D183" s="436"/>
      <c r="E183" s="436"/>
      <c r="F183" s="436"/>
      <c r="G183" s="437" t="s">
        <v>86</v>
      </c>
      <c r="H183" s="466">
        <f>SUM(G178:G182)</f>
        <v>85087</v>
      </c>
    </row>
    <row r="184" spans="1:8" ht="15.75" thickBot="1">
      <c r="A184" s="436"/>
      <c r="B184" s="436"/>
      <c r="C184" s="436"/>
      <c r="D184" s="436"/>
      <c r="E184" s="436"/>
      <c r="F184" s="436"/>
      <c r="G184" s="483"/>
      <c r="H184" s="436"/>
    </row>
    <row r="185" spans="1:8" ht="15.75" thickBot="1">
      <c r="A185" s="436"/>
      <c r="B185" s="436"/>
      <c r="C185" s="436"/>
      <c r="D185" s="436"/>
      <c r="E185" s="484" t="s">
        <v>102</v>
      </c>
      <c r="F185" s="485"/>
      <c r="G185" s="485"/>
      <c r="H185" s="466">
        <f>H159+H170+H175+H183</f>
        <v>5773525.9399999995</v>
      </c>
    </row>
    <row r="186" spans="1:8" ht="15.75" thickBot="1">
      <c r="A186" s="450" t="s">
        <v>103</v>
      </c>
      <c r="B186" s="450"/>
      <c r="C186" s="436"/>
      <c r="D186" s="436"/>
      <c r="E186" s="436"/>
      <c r="F186" s="436"/>
      <c r="G186" s="436"/>
      <c r="H186" s="436"/>
    </row>
    <row r="187" spans="1:8">
      <c r="A187" s="487" t="s">
        <v>80</v>
      </c>
      <c r="B187" s="488"/>
      <c r="C187" s="488"/>
      <c r="D187" s="488"/>
      <c r="E187" s="489"/>
      <c r="F187" s="490" t="s">
        <v>104</v>
      </c>
      <c r="G187" s="491" t="s">
        <v>105</v>
      </c>
      <c r="H187" s="457"/>
    </row>
    <row r="188" spans="1:8">
      <c r="A188" s="469" t="s">
        <v>106</v>
      </c>
      <c r="B188" s="467"/>
      <c r="C188" s="467"/>
      <c r="D188" s="467"/>
      <c r="E188" s="468"/>
      <c r="F188" s="492">
        <f>PRESUPUESTO!$E$222</f>
        <v>0.109</v>
      </c>
      <c r="G188" s="493">
        <f>+F188*H185</f>
        <v>629314.32745999994</v>
      </c>
      <c r="H188" s="460"/>
    </row>
    <row r="189" spans="1:8">
      <c r="A189" s="469" t="s">
        <v>107</v>
      </c>
      <c r="B189" s="467"/>
      <c r="C189" s="467"/>
      <c r="D189" s="467"/>
      <c r="E189" s="468"/>
      <c r="F189" s="492">
        <f>PRESUPUESTO!$E$223</f>
        <v>0.05</v>
      </c>
      <c r="G189" s="493">
        <f>+F189*H185</f>
        <v>288676.29699999996</v>
      </c>
      <c r="H189" s="460"/>
    </row>
    <row r="190" spans="1:8" ht="15.75" thickBot="1">
      <c r="A190" s="472" t="s">
        <v>108</v>
      </c>
      <c r="B190" s="473"/>
      <c r="C190" s="473"/>
      <c r="D190" s="473"/>
      <c r="E190" s="474"/>
      <c r="F190" s="494">
        <v>0</v>
      </c>
      <c r="G190" s="495">
        <f>+F190*H185</f>
        <v>0</v>
      </c>
      <c r="H190" s="465"/>
    </row>
    <row r="191" spans="1:8" ht="15.75" thickBot="1">
      <c r="A191" s="436"/>
      <c r="B191" s="436"/>
      <c r="C191" s="436"/>
      <c r="D191" s="436"/>
      <c r="E191" s="436"/>
      <c r="F191" s="436"/>
      <c r="G191" s="437" t="s">
        <v>86</v>
      </c>
      <c r="H191" s="496">
        <f>SUM(G188:G190)</f>
        <v>917990.62445999985</v>
      </c>
    </row>
    <row r="192" spans="1:8" ht="15.75" thickBot="1">
      <c r="A192" s="436"/>
      <c r="B192" s="436"/>
      <c r="C192" s="436"/>
      <c r="D192" s="436"/>
      <c r="E192" s="436"/>
      <c r="F192" s="436"/>
      <c r="G192" s="436"/>
      <c r="H192" s="436"/>
    </row>
    <row r="193" spans="1:8" ht="15.75" thickBot="1">
      <c r="C193" s="436"/>
      <c r="D193" s="484" t="s">
        <v>109</v>
      </c>
      <c r="E193" s="485"/>
      <c r="F193" s="485"/>
      <c r="G193" s="485"/>
      <c r="H193" s="466">
        <f>ROUND((H185+H191),0)</f>
        <v>6691517</v>
      </c>
    </row>
    <row r="195" spans="1:8">
      <c r="A195" s="186" t="s">
        <v>77</v>
      </c>
    </row>
    <row r="196" spans="1:8" ht="15.75" thickBot="1"/>
    <row r="197" spans="1:8">
      <c r="A197" s="1348" t="s">
        <v>213</v>
      </c>
      <c r="B197" s="1349"/>
      <c r="C197" s="1350"/>
      <c r="D197" s="448"/>
      <c r="E197" s="448"/>
      <c r="F197" s="448"/>
      <c r="G197" s="448"/>
      <c r="H197" s="449"/>
    </row>
    <row r="198" spans="1:8">
      <c r="A198" s="1351"/>
      <c r="B198" s="1352"/>
      <c r="C198" s="1353"/>
      <c r="D198" s="436"/>
      <c r="E198" s="450" t="s">
        <v>78</v>
      </c>
      <c r="F198" s="436"/>
      <c r="G198" s="436"/>
      <c r="H198" s="451"/>
    </row>
    <row r="199" spans="1:8" ht="15.75" thickBot="1">
      <c r="A199" s="1354"/>
      <c r="B199" s="1355"/>
      <c r="C199" s="1356"/>
      <c r="D199" s="1360"/>
      <c r="E199" s="1361"/>
      <c r="F199" s="1361"/>
      <c r="G199" s="1361"/>
      <c r="H199" s="1362"/>
    </row>
    <row r="200" spans="1:8">
      <c r="A200" s="455"/>
      <c r="B200" s="436"/>
      <c r="C200" s="436"/>
      <c r="D200" s="436"/>
      <c r="E200" s="436"/>
      <c r="F200" s="436"/>
      <c r="G200" s="436"/>
      <c r="H200" s="436"/>
    </row>
    <row r="201" spans="1:8" s="446" customFormat="1" ht="12.75">
      <c r="A201" s="455" t="s">
        <v>1228</v>
      </c>
      <c r="B201" s="456" t="str">
        <f>+PRESUPUESTO!$B$201</f>
        <v>AMOBLAMIENTO</v>
      </c>
      <c r="C201" s="436"/>
      <c r="E201" s="456"/>
      <c r="G201" s="456" t="s">
        <v>1123</v>
      </c>
      <c r="H201" s="436" t="str">
        <f>+PRESUPUESTO!$A$207</f>
        <v>13.1.5</v>
      </c>
    </row>
    <row r="202" spans="1:8" s="931" customFormat="1" ht="55.9" customHeight="1">
      <c r="A202" s="928" t="s">
        <v>1122</v>
      </c>
      <c r="B202" s="1375" t="str">
        <f>VLOOKUP(H201,PRESUPUESTO!$A$18:$F$251,2,FALSE)</f>
        <v>Suministro e instalación de basureras sencillas con techo en acero inoxidable con un diametro 40 cm, 60 cm de alto y capacidad de 75 litros. Altura total 110 cm.</v>
      </c>
      <c r="C202" s="1375"/>
      <c r="D202" s="1375"/>
      <c r="E202" s="1375"/>
      <c r="F202" s="1375"/>
      <c r="G202" s="929" t="s">
        <v>9</v>
      </c>
      <c r="H202" s="1024" t="str">
        <f>VLOOKUP(H201,PRESUPUESTO!$A$18:$F$251,3,FALSE)</f>
        <v>un</v>
      </c>
    </row>
    <row r="203" spans="1:8">
      <c r="A203" s="456"/>
      <c r="B203" s="456"/>
      <c r="C203" s="436"/>
      <c r="D203" s="456"/>
      <c r="E203" s="456"/>
      <c r="F203" s="456"/>
      <c r="G203" s="456"/>
      <c r="H203" s="436"/>
    </row>
    <row r="204" spans="1:8" ht="15.75" thickBot="1">
      <c r="A204" s="450" t="s">
        <v>79</v>
      </c>
      <c r="B204" s="450"/>
      <c r="C204" s="436"/>
      <c r="D204" s="436"/>
      <c r="E204" s="436"/>
      <c r="F204" s="436"/>
      <c r="G204" s="436"/>
      <c r="H204" s="436"/>
    </row>
    <row r="205" spans="1:8">
      <c r="A205" s="1345" t="s">
        <v>80</v>
      </c>
      <c r="B205" s="1346"/>
      <c r="C205" s="1347"/>
      <c r="D205" s="438" t="s">
        <v>81</v>
      </c>
      <c r="E205" s="438" t="s">
        <v>82</v>
      </c>
      <c r="F205" s="438" t="s">
        <v>83</v>
      </c>
      <c r="G205" s="439" t="s">
        <v>84</v>
      </c>
      <c r="H205" s="457"/>
    </row>
    <row r="206" spans="1:8">
      <c r="A206" s="1357" t="s">
        <v>85</v>
      </c>
      <c r="B206" s="1358"/>
      <c r="C206" s="1359"/>
      <c r="D206" s="459"/>
      <c r="E206" s="440"/>
      <c r="F206" s="440"/>
      <c r="G206" s="432">
        <f>ROUND(H231*0.05,0)</f>
        <v>2963</v>
      </c>
      <c r="H206" s="460"/>
    </row>
    <row r="207" spans="1:8">
      <c r="A207" s="1357" t="s">
        <v>694</v>
      </c>
      <c r="B207" s="1358"/>
      <c r="C207" s="1359"/>
      <c r="D207" s="461"/>
      <c r="E207" s="462">
        <f>52222*1.19</f>
        <v>62144.18</v>
      </c>
      <c r="F207" s="440">
        <f>+F226*2</f>
        <v>8</v>
      </c>
      <c r="G207" s="432">
        <f>+E207/F207</f>
        <v>7768.0225</v>
      </c>
      <c r="H207" s="460"/>
    </row>
    <row r="208" spans="1:8" ht="15.75" thickBot="1">
      <c r="A208" s="1342"/>
      <c r="B208" s="1343"/>
      <c r="C208" s="1344"/>
      <c r="D208" s="464"/>
      <c r="E208" s="433"/>
      <c r="F208" s="434"/>
      <c r="G208" s="441"/>
      <c r="H208" s="465"/>
    </row>
    <row r="209" spans="1:9" ht="15.75" thickBot="1">
      <c r="A209" s="436"/>
      <c r="B209" s="436"/>
      <c r="C209" s="436"/>
      <c r="D209" s="436"/>
      <c r="E209" s="436"/>
      <c r="F209" s="436"/>
      <c r="G209" s="437" t="s">
        <v>86</v>
      </c>
      <c r="H209" s="466">
        <f>SUM(G206:G208)</f>
        <v>10731.022499999999</v>
      </c>
    </row>
    <row r="210" spans="1:9" ht="15.75" thickBot="1">
      <c r="A210" s="450" t="s">
        <v>87</v>
      </c>
      <c r="B210" s="450"/>
      <c r="C210" s="436"/>
      <c r="D210" s="436"/>
      <c r="E210" s="436"/>
      <c r="F210" s="436"/>
      <c r="G210" s="436"/>
      <c r="H210" s="436"/>
    </row>
    <row r="211" spans="1:9">
      <c r="A211" s="1345" t="s">
        <v>80</v>
      </c>
      <c r="B211" s="1346"/>
      <c r="C211" s="1347"/>
      <c r="D211" s="438" t="s">
        <v>88</v>
      </c>
      <c r="E211" s="438" t="s">
        <v>89</v>
      </c>
      <c r="F211" s="438" t="s">
        <v>90</v>
      </c>
      <c r="G211" s="439" t="s">
        <v>84</v>
      </c>
      <c r="H211" s="457"/>
    </row>
    <row r="212" spans="1:9">
      <c r="A212" s="458" t="s">
        <v>599</v>
      </c>
      <c r="B212" s="467"/>
      <c r="C212" s="468"/>
      <c r="D212" s="459" t="s">
        <v>268</v>
      </c>
      <c r="E212" s="430">
        <f>1489900</f>
        <v>1489900</v>
      </c>
      <c r="F212" s="440">
        <v>1</v>
      </c>
      <c r="G212" s="432">
        <f>E212*F212</f>
        <v>1489900</v>
      </c>
      <c r="H212" s="460"/>
      <c r="I212" s="186" t="s">
        <v>695</v>
      </c>
    </row>
    <row r="213" spans="1:9">
      <c r="A213" s="458" t="s">
        <v>531</v>
      </c>
      <c r="B213" s="467"/>
      <c r="C213" s="468"/>
      <c r="D213" s="459" t="s">
        <v>534</v>
      </c>
      <c r="E213" s="430">
        <f>APA!$H$176</f>
        <v>561165.64333333331</v>
      </c>
      <c r="F213" s="440">
        <f>0.3*0.2*0.1*2</f>
        <v>1.2E-2</v>
      </c>
      <c r="G213" s="432">
        <f>E213*F213</f>
        <v>6733.9877200000001</v>
      </c>
      <c r="H213" s="460"/>
    </row>
    <row r="214" spans="1:9">
      <c r="A214" s="469" t="s">
        <v>93</v>
      </c>
      <c r="B214" s="467"/>
      <c r="C214" s="471">
        <v>0.05</v>
      </c>
      <c r="D214" s="459"/>
      <c r="E214" s="430"/>
      <c r="F214" s="431"/>
      <c r="G214" s="432">
        <f>SUM(G213)*C214</f>
        <v>336.699386</v>
      </c>
      <c r="H214" s="460"/>
    </row>
    <row r="215" spans="1:9">
      <c r="A215" s="469"/>
      <c r="B215" s="467"/>
      <c r="C215" s="468"/>
      <c r="D215" s="459"/>
      <c r="E215" s="430"/>
      <c r="F215" s="431"/>
      <c r="G215" s="432"/>
      <c r="H215" s="460"/>
    </row>
    <row r="216" spans="1:9">
      <c r="A216" s="469"/>
      <c r="B216" s="467"/>
      <c r="C216" s="468"/>
      <c r="D216" s="459"/>
      <c r="E216" s="430"/>
      <c r="F216" s="431"/>
      <c r="G216" s="432"/>
      <c r="H216" s="460"/>
    </row>
    <row r="217" spans="1:9" ht="15.75" thickBot="1">
      <c r="A217" s="472"/>
      <c r="B217" s="473"/>
      <c r="C217" s="474"/>
      <c r="D217" s="464"/>
      <c r="E217" s="433"/>
      <c r="F217" s="434"/>
      <c r="G217" s="435"/>
      <c r="H217" s="465"/>
    </row>
    <row r="218" spans="1:9" ht="15.75" thickBot="1">
      <c r="A218" s="436"/>
      <c r="B218" s="436"/>
      <c r="C218" s="436"/>
      <c r="D218" s="436"/>
      <c r="E218" s="436"/>
      <c r="F218" s="436"/>
      <c r="G218" s="437" t="s">
        <v>86</v>
      </c>
      <c r="H218" s="466">
        <f>SUM(G212:G217)</f>
        <v>1496970.687106</v>
      </c>
    </row>
    <row r="219" spans="1:9" ht="15.75" thickBot="1">
      <c r="A219" s="450" t="s">
        <v>94</v>
      </c>
      <c r="B219" s="450"/>
      <c r="C219" s="436"/>
      <c r="D219" s="436"/>
      <c r="E219" s="436"/>
      <c r="F219" s="436"/>
      <c r="G219" s="436"/>
      <c r="H219" s="436"/>
    </row>
    <row r="220" spans="1:9">
      <c r="A220" s="1345" t="s">
        <v>95</v>
      </c>
      <c r="B220" s="1346"/>
      <c r="C220" s="1347"/>
      <c r="D220" s="438" t="s">
        <v>88</v>
      </c>
      <c r="E220" s="438" t="s">
        <v>89</v>
      </c>
      <c r="F220" s="438" t="s">
        <v>90</v>
      </c>
      <c r="G220" s="439" t="s">
        <v>84</v>
      </c>
      <c r="H220" s="457"/>
    </row>
    <row r="221" spans="1:9">
      <c r="A221" s="458" t="s">
        <v>599</v>
      </c>
      <c r="B221" s="467"/>
      <c r="C221" s="468"/>
      <c r="D221" s="459" t="s">
        <v>268</v>
      </c>
      <c r="E221" s="430">
        <v>70000</v>
      </c>
      <c r="F221" s="440">
        <v>1</v>
      </c>
      <c r="G221" s="432">
        <f>E221*F221</f>
        <v>70000</v>
      </c>
      <c r="H221" s="460"/>
    </row>
    <row r="222" spans="1:9" ht="15.75" thickBot="1">
      <c r="A222" s="1342"/>
      <c r="B222" s="1343"/>
      <c r="C222" s="1344"/>
      <c r="D222" s="475"/>
      <c r="E222" s="433"/>
      <c r="F222" s="434"/>
      <c r="G222" s="441"/>
      <c r="H222" s="460"/>
    </row>
    <row r="223" spans="1:9" ht="15.75" thickBot="1">
      <c r="A223" s="436"/>
      <c r="B223" s="436"/>
      <c r="C223" s="436"/>
      <c r="D223" s="436"/>
      <c r="E223" s="436"/>
      <c r="F223" s="436"/>
      <c r="G223" s="437" t="s">
        <v>86</v>
      </c>
      <c r="H223" s="466">
        <f>SUM(G221:G222)</f>
        <v>70000</v>
      </c>
      <c r="I223" s="683">
        <f>+H223*47</f>
        <v>3290000</v>
      </c>
    </row>
    <row r="224" spans="1:9" ht="15.75" thickBot="1">
      <c r="A224" s="450" t="s">
        <v>96</v>
      </c>
      <c r="B224" s="450"/>
      <c r="C224" s="436"/>
      <c r="D224" s="436"/>
      <c r="E224" s="436"/>
      <c r="F224" s="436"/>
      <c r="G224" s="436"/>
      <c r="H224" s="436"/>
    </row>
    <row r="225" spans="1:8">
      <c r="A225" s="476" t="s">
        <v>97</v>
      </c>
      <c r="B225" s="438"/>
      <c r="C225" s="438" t="s">
        <v>98</v>
      </c>
      <c r="D225" s="438" t="s">
        <v>99</v>
      </c>
      <c r="E225" s="442" t="s">
        <v>100</v>
      </c>
      <c r="F225" s="443" t="s">
        <v>83</v>
      </c>
      <c r="G225" s="444" t="s">
        <v>84</v>
      </c>
      <c r="H225" s="477"/>
    </row>
    <row r="226" spans="1:8">
      <c r="A226" s="478" t="s">
        <v>227</v>
      </c>
      <c r="B226" s="468"/>
      <c r="C226" s="479">
        <f>PERSONAL!$E$31</f>
        <v>48800</v>
      </c>
      <c r="D226" s="480">
        <f>PERSONAL!$F$31</f>
        <v>1.7431000000000001</v>
      </c>
      <c r="E226" s="440">
        <f>+D226*C226</f>
        <v>85063.28</v>
      </c>
      <c r="F226" s="440">
        <v>4</v>
      </c>
      <c r="G226" s="445">
        <f>ROUND(E226/F226,0)</f>
        <v>21266</v>
      </c>
      <c r="H226" s="451"/>
    </row>
    <row r="227" spans="1:8">
      <c r="A227" s="478" t="s">
        <v>101</v>
      </c>
      <c r="B227" s="467"/>
      <c r="C227" s="479">
        <f>PERSONAL!$E$32</f>
        <v>87200</v>
      </c>
      <c r="D227" s="480">
        <f>PERSONAL!$F$31</f>
        <v>1.7431000000000001</v>
      </c>
      <c r="E227" s="440">
        <f>+D227*C227</f>
        <v>151998.32</v>
      </c>
      <c r="F227" s="440">
        <f>+F226</f>
        <v>4</v>
      </c>
      <c r="G227" s="445">
        <f>ROUND(E227/F227,0)</f>
        <v>38000</v>
      </c>
      <c r="H227" s="451"/>
    </row>
    <row r="228" spans="1:8">
      <c r="A228" s="478"/>
      <c r="B228" s="468"/>
      <c r="C228" s="430"/>
      <c r="D228" s="459"/>
      <c r="E228" s="430"/>
      <c r="F228" s="440"/>
      <c r="G228" s="445"/>
      <c r="H228" s="451"/>
    </row>
    <row r="229" spans="1:8">
      <c r="A229" s="478"/>
      <c r="B229" s="468"/>
      <c r="C229" s="430"/>
      <c r="D229" s="459"/>
      <c r="E229" s="430"/>
      <c r="F229" s="440"/>
      <c r="G229" s="445"/>
      <c r="H229" s="451"/>
    </row>
    <row r="230" spans="1:8" ht="15.75" thickBot="1">
      <c r="A230" s="481"/>
      <c r="B230" s="474"/>
      <c r="C230" s="474"/>
      <c r="D230" s="474"/>
      <c r="E230" s="474"/>
      <c r="F230" s="474"/>
      <c r="G230" s="482"/>
      <c r="H230" s="482"/>
    </row>
    <row r="231" spans="1:8" ht="15.75" thickBot="1">
      <c r="A231" s="436"/>
      <c r="B231" s="436"/>
      <c r="C231" s="436"/>
      <c r="D231" s="436"/>
      <c r="E231" s="436"/>
      <c r="F231" s="436"/>
      <c r="G231" s="437" t="s">
        <v>86</v>
      </c>
      <c r="H231" s="466">
        <f>SUM(G226:G230)</f>
        <v>59266</v>
      </c>
    </row>
    <row r="232" spans="1:8" ht="15.75" thickBot="1">
      <c r="A232" s="436"/>
      <c r="B232" s="436"/>
      <c r="C232" s="436"/>
      <c r="D232" s="436"/>
      <c r="E232" s="436"/>
      <c r="F232" s="436"/>
      <c r="G232" s="483"/>
      <c r="H232" s="436"/>
    </row>
    <row r="233" spans="1:8" ht="15.75" thickBot="1">
      <c r="A233" s="436"/>
      <c r="B233" s="436"/>
      <c r="C233" s="436"/>
      <c r="D233" s="436"/>
      <c r="E233" s="484" t="s">
        <v>102</v>
      </c>
      <c r="F233" s="485"/>
      <c r="G233" s="485"/>
      <c r="H233" s="466">
        <f>H209+H218+H223+H231</f>
        <v>1636967.709606</v>
      </c>
    </row>
    <row r="234" spans="1:8" ht="15.75" thickBot="1">
      <c r="A234" s="450" t="s">
        <v>103</v>
      </c>
      <c r="B234" s="450"/>
      <c r="C234" s="436"/>
      <c r="D234" s="436"/>
      <c r="E234" s="436"/>
      <c r="F234" s="436"/>
      <c r="G234" s="436"/>
      <c r="H234" s="436"/>
    </row>
    <row r="235" spans="1:8">
      <c r="A235" s="487" t="s">
        <v>80</v>
      </c>
      <c r="B235" s="488"/>
      <c r="C235" s="488"/>
      <c r="D235" s="488"/>
      <c r="E235" s="489"/>
      <c r="F235" s="490" t="s">
        <v>104</v>
      </c>
      <c r="G235" s="491" t="s">
        <v>105</v>
      </c>
      <c r="H235" s="457"/>
    </row>
    <row r="236" spans="1:8">
      <c r="A236" s="469" t="s">
        <v>106</v>
      </c>
      <c r="B236" s="467"/>
      <c r="C236" s="467"/>
      <c r="D236" s="467"/>
      <c r="E236" s="468"/>
      <c r="F236" s="492">
        <f>PRESUPUESTO!$E$222</f>
        <v>0.109</v>
      </c>
      <c r="G236" s="493">
        <f>+F236*H233</f>
        <v>178429.48034705399</v>
      </c>
      <c r="H236" s="460"/>
    </row>
    <row r="237" spans="1:8">
      <c r="A237" s="469" t="s">
        <v>107</v>
      </c>
      <c r="B237" s="467"/>
      <c r="C237" s="467"/>
      <c r="D237" s="467"/>
      <c r="E237" s="468"/>
      <c r="F237" s="492">
        <f>PRESUPUESTO!$E$223</f>
        <v>0.05</v>
      </c>
      <c r="G237" s="493">
        <f>+F237*H233</f>
        <v>81848.385480299999</v>
      </c>
      <c r="H237" s="460"/>
    </row>
    <row r="238" spans="1:8" ht="15.75" thickBot="1">
      <c r="A238" s="472" t="s">
        <v>108</v>
      </c>
      <c r="B238" s="473"/>
      <c r="C238" s="473"/>
      <c r="D238" s="473"/>
      <c r="E238" s="474"/>
      <c r="F238" s="494">
        <v>0</v>
      </c>
      <c r="G238" s="495">
        <f>+F238*H233</f>
        <v>0</v>
      </c>
      <c r="H238" s="465"/>
    </row>
    <row r="239" spans="1:8" ht="15.75" thickBot="1">
      <c r="A239" s="436"/>
      <c r="B239" s="436"/>
      <c r="C239" s="436"/>
      <c r="D239" s="436"/>
      <c r="E239" s="436"/>
      <c r="F239" s="436"/>
      <c r="G239" s="437" t="s">
        <v>86</v>
      </c>
      <c r="H239" s="496">
        <f>SUM(G236:G238)</f>
        <v>260277.86582735399</v>
      </c>
    </row>
    <row r="240" spans="1:8" ht="15.75" thickBot="1">
      <c r="A240" s="436"/>
      <c r="B240" s="436"/>
      <c r="C240" s="436"/>
      <c r="D240" s="436"/>
      <c r="E240" s="436"/>
      <c r="F240" s="436"/>
      <c r="G240" s="436"/>
      <c r="H240" s="436"/>
    </row>
    <row r="241" spans="1:8" ht="15.75" thickBot="1">
      <c r="C241" s="436"/>
      <c r="D241" s="484" t="s">
        <v>109</v>
      </c>
      <c r="E241" s="485"/>
      <c r="F241" s="485"/>
      <c r="G241" s="485"/>
      <c r="H241" s="466">
        <f>ROUND((H233+H239),0)</f>
        <v>1897246</v>
      </c>
    </row>
    <row r="243" spans="1:8">
      <c r="A243" s="186" t="s">
        <v>77</v>
      </c>
    </row>
    <row r="244" spans="1:8" ht="15.75" thickBot="1"/>
    <row r="245" spans="1:8">
      <c r="A245" s="1348" t="s">
        <v>213</v>
      </c>
      <c r="B245" s="1349"/>
      <c r="C245" s="1350"/>
      <c r="D245" s="448"/>
      <c r="E245" s="448"/>
      <c r="F245" s="448"/>
      <c r="G245" s="448"/>
      <c r="H245" s="449"/>
    </row>
    <row r="246" spans="1:8">
      <c r="A246" s="1351"/>
      <c r="B246" s="1352"/>
      <c r="C246" s="1353"/>
      <c r="D246" s="436"/>
      <c r="E246" s="450" t="s">
        <v>78</v>
      </c>
      <c r="F246" s="436"/>
      <c r="G246" s="436"/>
      <c r="H246" s="451"/>
    </row>
    <row r="247" spans="1:8" ht="15.75" thickBot="1">
      <c r="A247" s="1354"/>
      <c r="B247" s="1355"/>
      <c r="C247" s="1356"/>
      <c r="D247" s="1360"/>
      <c r="E247" s="1361"/>
      <c r="F247" s="1361"/>
      <c r="G247" s="1361"/>
      <c r="H247" s="1362"/>
    </row>
    <row r="248" spans="1:8">
      <c r="A248" s="455"/>
      <c r="B248" s="436"/>
      <c r="C248" s="436"/>
      <c r="D248" s="436"/>
      <c r="E248" s="436"/>
      <c r="F248" s="436"/>
      <c r="G248" s="436"/>
      <c r="H248" s="436"/>
    </row>
    <row r="249" spans="1:8" s="446" customFormat="1" ht="12.75">
      <c r="A249" s="455" t="s">
        <v>1228</v>
      </c>
      <c r="B249" s="456" t="str">
        <f>+PRESUPUESTO!$B$201</f>
        <v>AMOBLAMIENTO</v>
      </c>
      <c r="C249" s="436"/>
      <c r="E249" s="456"/>
      <c r="G249" s="456" t="s">
        <v>1123</v>
      </c>
      <c r="H249" s="436" t="str">
        <f>+PRESUPUESTO!$A$208</f>
        <v>13.1.6</v>
      </c>
    </row>
    <row r="250" spans="1:8" s="931" customFormat="1" ht="55.9" customHeight="1">
      <c r="A250" s="928" t="s">
        <v>1122</v>
      </c>
      <c r="B250" s="1375" t="str">
        <f>VLOOKUP(H249,PRESUPUESTO!$A$18:$F$251,2,FALSE)</f>
        <v>Suministro e instalación de basureras dobles con techo en acero inoxidablecon un diametro 40 cm, 60 cm de alto y capacidad de 75 litros. Ancho total 95 cm y altura total de 140 cm.</v>
      </c>
      <c r="C250" s="1375"/>
      <c r="D250" s="1375"/>
      <c r="E250" s="1375"/>
      <c r="F250" s="1375"/>
      <c r="G250" s="929" t="s">
        <v>9</v>
      </c>
      <c r="H250" s="1024" t="str">
        <f>VLOOKUP(H249,PRESUPUESTO!$A$18:$F$251,3,FALSE)</f>
        <v>un</v>
      </c>
    </row>
    <row r="251" spans="1:8">
      <c r="A251" s="456"/>
      <c r="B251" s="456"/>
      <c r="C251" s="436"/>
      <c r="D251" s="456"/>
      <c r="E251" s="456"/>
      <c r="F251" s="456"/>
      <c r="G251" s="456"/>
      <c r="H251" s="436"/>
    </row>
    <row r="252" spans="1:8" ht="15.75" thickBot="1">
      <c r="A252" s="450" t="s">
        <v>79</v>
      </c>
      <c r="B252" s="450"/>
      <c r="C252" s="436"/>
      <c r="D252" s="436"/>
      <c r="E252" s="436"/>
      <c r="F252" s="436"/>
      <c r="G252" s="436"/>
      <c r="H252" s="436"/>
    </row>
    <row r="253" spans="1:8">
      <c r="A253" s="1345" t="s">
        <v>80</v>
      </c>
      <c r="B253" s="1346"/>
      <c r="C253" s="1347"/>
      <c r="D253" s="438" t="s">
        <v>81</v>
      </c>
      <c r="E253" s="438" t="s">
        <v>82</v>
      </c>
      <c r="F253" s="438" t="s">
        <v>83</v>
      </c>
      <c r="G253" s="439" t="s">
        <v>84</v>
      </c>
      <c r="H253" s="457"/>
    </row>
    <row r="254" spans="1:8">
      <c r="A254" s="1357" t="s">
        <v>85</v>
      </c>
      <c r="B254" s="1358"/>
      <c r="C254" s="1359"/>
      <c r="D254" s="459"/>
      <c r="E254" s="440"/>
      <c r="F254" s="440"/>
      <c r="G254" s="432">
        <f>ROUND(H279*0.05,0)</f>
        <v>3951</v>
      </c>
      <c r="H254" s="460"/>
    </row>
    <row r="255" spans="1:8">
      <c r="A255" s="1357" t="s">
        <v>694</v>
      </c>
      <c r="B255" s="1358"/>
      <c r="C255" s="1359"/>
      <c r="D255" s="461"/>
      <c r="E255" s="462">
        <f>52222*1.19</f>
        <v>62144.18</v>
      </c>
      <c r="F255" s="440">
        <f>+F274*2</f>
        <v>6</v>
      </c>
      <c r="G255" s="432">
        <f>+E255/F255</f>
        <v>10357.363333333333</v>
      </c>
      <c r="H255" s="460"/>
    </row>
    <row r="256" spans="1:8" ht="15.75" thickBot="1">
      <c r="A256" s="1342"/>
      <c r="B256" s="1343"/>
      <c r="C256" s="1344"/>
      <c r="D256" s="464"/>
      <c r="E256" s="433"/>
      <c r="F256" s="434"/>
      <c r="G256" s="441"/>
      <c r="H256" s="465"/>
    </row>
    <row r="257" spans="1:9" ht="15.75" thickBot="1">
      <c r="A257" s="436"/>
      <c r="B257" s="436"/>
      <c r="C257" s="436"/>
      <c r="D257" s="436"/>
      <c r="E257" s="436"/>
      <c r="F257" s="436"/>
      <c r="G257" s="437" t="s">
        <v>86</v>
      </c>
      <c r="H257" s="466">
        <f>SUM(G254:G256)</f>
        <v>14308.363333333333</v>
      </c>
    </row>
    <row r="258" spans="1:9" ht="15.75" thickBot="1">
      <c r="A258" s="450" t="s">
        <v>87</v>
      </c>
      <c r="B258" s="450"/>
      <c r="C258" s="436"/>
      <c r="D258" s="436"/>
      <c r="E258" s="436"/>
      <c r="F258" s="436"/>
      <c r="G258" s="436"/>
      <c r="H258" s="436"/>
    </row>
    <row r="259" spans="1:9">
      <c r="A259" s="1345" t="s">
        <v>80</v>
      </c>
      <c r="B259" s="1346"/>
      <c r="C259" s="1347"/>
      <c r="D259" s="438" t="s">
        <v>88</v>
      </c>
      <c r="E259" s="438" t="s">
        <v>89</v>
      </c>
      <c r="F259" s="438" t="s">
        <v>90</v>
      </c>
      <c r="G259" s="439" t="s">
        <v>84</v>
      </c>
      <c r="H259" s="457"/>
    </row>
    <row r="260" spans="1:9">
      <c r="A260" s="458" t="s">
        <v>599</v>
      </c>
      <c r="B260" s="467"/>
      <c r="C260" s="468"/>
      <c r="D260" s="459" t="s">
        <v>268</v>
      </c>
      <c r="E260" s="674">
        <f>2989900</f>
        <v>2989900</v>
      </c>
      <c r="F260" s="440">
        <v>1</v>
      </c>
      <c r="G260" s="432">
        <f>E260*F260</f>
        <v>2989900</v>
      </c>
      <c r="H260" s="460"/>
      <c r="I260" s="186" t="s">
        <v>696</v>
      </c>
    </row>
    <row r="261" spans="1:9">
      <c r="A261" s="469"/>
      <c r="B261" s="467"/>
      <c r="C261" s="468"/>
      <c r="D261" s="459"/>
      <c r="E261" s="430"/>
      <c r="F261" s="431"/>
      <c r="G261" s="432"/>
      <c r="H261" s="460"/>
    </row>
    <row r="262" spans="1:9">
      <c r="A262" s="469" t="s">
        <v>93</v>
      </c>
      <c r="B262" s="467"/>
      <c r="C262" s="471">
        <v>0.05</v>
      </c>
      <c r="D262" s="459"/>
      <c r="E262" s="430"/>
      <c r="F262" s="431"/>
      <c r="G262" s="432">
        <f>SUM(G260:G261)*C262</f>
        <v>149495</v>
      </c>
      <c r="H262" s="460"/>
    </row>
    <row r="263" spans="1:9">
      <c r="A263" s="469"/>
      <c r="B263" s="467"/>
      <c r="C263" s="468"/>
      <c r="D263" s="459"/>
      <c r="E263" s="430"/>
      <c r="F263" s="431"/>
      <c r="G263" s="432"/>
      <c r="H263" s="460"/>
    </row>
    <row r="264" spans="1:9">
      <c r="A264" s="469"/>
      <c r="B264" s="467"/>
      <c r="C264" s="468"/>
      <c r="D264" s="459"/>
      <c r="E264" s="430"/>
      <c r="F264" s="431"/>
      <c r="G264" s="432"/>
      <c r="H264" s="460"/>
    </row>
    <row r="265" spans="1:9" ht="15.75" thickBot="1">
      <c r="A265" s="472"/>
      <c r="B265" s="473"/>
      <c r="C265" s="474"/>
      <c r="D265" s="464"/>
      <c r="E265" s="433"/>
      <c r="F265" s="434"/>
      <c r="G265" s="435"/>
      <c r="H265" s="465"/>
    </row>
    <row r="266" spans="1:9" ht="15.75" thickBot="1">
      <c r="A266" s="436"/>
      <c r="B266" s="436"/>
      <c r="C266" s="436"/>
      <c r="D266" s="436"/>
      <c r="E266" s="436"/>
      <c r="F266" s="436"/>
      <c r="G266" s="437" t="s">
        <v>86</v>
      </c>
      <c r="H266" s="466">
        <f>SUM(G260:G265)</f>
        <v>3139395</v>
      </c>
    </row>
    <row r="267" spans="1:9" ht="15.75" thickBot="1">
      <c r="A267" s="450" t="s">
        <v>94</v>
      </c>
      <c r="B267" s="450"/>
      <c r="C267" s="436"/>
      <c r="D267" s="436"/>
      <c r="E267" s="436"/>
      <c r="F267" s="436"/>
      <c r="G267" s="436"/>
      <c r="H267" s="436"/>
    </row>
    <row r="268" spans="1:9">
      <c r="A268" s="1345" t="s">
        <v>95</v>
      </c>
      <c r="B268" s="1346"/>
      <c r="C268" s="1347"/>
      <c r="D268" s="438" t="s">
        <v>88</v>
      </c>
      <c r="E268" s="438" t="s">
        <v>89</v>
      </c>
      <c r="F268" s="438" t="s">
        <v>90</v>
      </c>
      <c r="G268" s="439" t="s">
        <v>84</v>
      </c>
      <c r="H268" s="457"/>
    </row>
    <row r="269" spans="1:9">
      <c r="A269" s="458" t="s">
        <v>599</v>
      </c>
      <c r="B269" s="467"/>
      <c r="C269" s="468"/>
      <c r="D269" s="459" t="s">
        <v>268</v>
      </c>
      <c r="E269" s="430">
        <v>100000</v>
      </c>
      <c r="F269" s="440">
        <v>1</v>
      </c>
      <c r="G269" s="432">
        <f>E269*F269</f>
        <v>100000</v>
      </c>
      <c r="H269" s="460"/>
    </row>
    <row r="270" spans="1:9" ht="15.75" thickBot="1">
      <c r="A270" s="1342"/>
      <c r="B270" s="1343"/>
      <c r="C270" s="1344"/>
      <c r="D270" s="475"/>
      <c r="E270" s="433"/>
      <c r="F270" s="434"/>
      <c r="G270" s="441"/>
      <c r="H270" s="460"/>
    </row>
    <row r="271" spans="1:9" ht="15.75" thickBot="1">
      <c r="A271" s="436"/>
      <c r="B271" s="436"/>
      <c r="C271" s="436"/>
      <c r="D271" s="436"/>
      <c r="E271" s="436"/>
      <c r="F271" s="436"/>
      <c r="G271" s="437" t="s">
        <v>86</v>
      </c>
      <c r="H271" s="466">
        <f>SUM(G269:G270)</f>
        <v>100000</v>
      </c>
    </row>
    <row r="272" spans="1:9" ht="15.75" thickBot="1">
      <c r="A272" s="450" t="s">
        <v>96</v>
      </c>
      <c r="B272" s="450"/>
      <c r="C272" s="436"/>
      <c r="D272" s="436"/>
      <c r="E272" s="436"/>
      <c r="F272" s="436"/>
      <c r="G272" s="436"/>
      <c r="H272" s="436"/>
    </row>
    <row r="273" spans="1:8">
      <c r="A273" s="476" t="s">
        <v>97</v>
      </c>
      <c r="B273" s="438"/>
      <c r="C273" s="438" t="s">
        <v>98</v>
      </c>
      <c r="D273" s="438" t="s">
        <v>99</v>
      </c>
      <c r="E273" s="442" t="s">
        <v>100</v>
      </c>
      <c r="F273" s="443" t="s">
        <v>83</v>
      </c>
      <c r="G273" s="444" t="s">
        <v>84</v>
      </c>
      <c r="H273" s="477"/>
    </row>
    <row r="274" spans="1:8">
      <c r="A274" s="478" t="s">
        <v>227</v>
      </c>
      <c r="B274" s="468"/>
      <c r="C274" s="479">
        <f>PERSONAL!$E$31</f>
        <v>48800</v>
      </c>
      <c r="D274" s="480">
        <f>PERSONAL!$F$31</f>
        <v>1.7431000000000001</v>
      </c>
      <c r="E274" s="440">
        <f>+D274*C274</f>
        <v>85063.28</v>
      </c>
      <c r="F274" s="440">
        <v>3</v>
      </c>
      <c r="G274" s="445">
        <f>ROUND(E274/F274,0)</f>
        <v>28354</v>
      </c>
      <c r="H274" s="451"/>
    </row>
    <row r="275" spans="1:8">
      <c r="A275" s="478" t="s">
        <v>101</v>
      </c>
      <c r="B275" s="467"/>
      <c r="C275" s="479">
        <f>PERSONAL!$E$32</f>
        <v>87200</v>
      </c>
      <c r="D275" s="480">
        <f>PERSONAL!$F$31</f>
        <v>1.7431000000000001</v>
      </c>
      <c r="E275" s="440">
        <f>+D275*C275</f>
        <v>151998.32</v>
      </c>
      <c r="F275" s="440">
        <f>+F274</f>
        <v>3</v>
      </c>
      <c r="G275" s="445">
        <f>ROUND(E275/F275,0)</f>
        <v>50666</v>
      </c>
      <c r="H275" s="451"/>
    </row>
    <row r="276" spans="1:8">
      <c r="A276" s="478"/>
      <c r="B276" s="468"/>
      <c r="C276" s="430"/>
      <c r="D276" s="459"/>
      <c r="E276" s="430"/>
      <c r="F276" s="440"/>
      <c r="G276" s="445"/>
      <c r="H276" s="451"/>
    </row>
    <row r="277" spans="1:8">
      <c r="A277" s="478"/>
      <c r="B277" s="468"/>
      <c r="C277" s="430"/>
      <c r="D277" s="459"/>
      <c r="E277" s="430"/>
      <c r="F277" s="440"/>
      <c r="G277" s="445"/>
      <c r="H277" s="451"/>
    </row>
    <row r="278" spans="1:8" ht="15.75" thickBot="1">
      <c r="A278" s="481"/>
      <c r="B278" s="474"/>
      <c r="C278" s="474"/>
      <c r="D278" s="474"/>
      <c r="E278" s="474"/>
      <c r="F278" s="474"/>
      <c r="G278" s="482"/>
      <c r="H278" s="482"/>
    </row>
    <row r="279" spans="1:8" ht="15.75" thickBot="1">
      <c r="A279" s="436"/>
      <c r="B279" s="436"/>
      <c r="C279" s="436"/>
      <c r="D279" s="436"/>
      <c r="E279" s="436"/>
      <c r="F279" s="436"/>
      <c r="G279" s="437" t="s">
        <v>86</v>
      </c>
      <c r="H279" s="466">
        <f>SUM(G274:G278)</f>
        <v>79020</v>
      </c>
    </row>
    <row r="280" spans="1:8" ht="15.75" thickBot="1">
      <c r="A280" s="436"/>
      <c r="B280" s="436"/>
      <c r="C280" s="436"/>
      <c r="D280" s="436"/>
      <c r="E280" s="436"/>
      <c r="F280" s="436"/>
      <c r="G280" s="483"/>
      <c r="H280" s="436"/>
    </row>
    <row r="281" spans="1:8" ht="15.75" thickBot="1">
      <c r="A281" s="436"/>
      <c r="B281" s="436"/>
      <c r="C281" s="436"/>
      <c r="D281" s="436"/>
      <c r="E281" s="484" t="s">
        <v>102</v>
      </c>
      <c r="F281" s="485"/>
      <c r="G281" s="485"/>
      <c r="H281" s="466">
        <f>H257+H266+H271+H279</f>
        <v>3332723.3633333333</v>
      </c>
    </row>
    <row r="282" spans="1:8" ht="15.75" thickBot="1">
      <c r="A282" s="450" t="s">
        <v>103</v>
      </c>
      <c r="B282" s="450"/>
      <c r="C282" s="436"/>
      <c r="D282" s="436"/>
      <c r="E282" s="436"/>
      <c r="F282" s="436"/>
      <c r="G282" s="436"/>
      <c r="H282" s="436"/>
    </row>
    <row r="283" spans="1:8">
      <c r="A283" s="487" t="s">
        <v>80</v>
      </c>
      <c r="B283" s="488"/>
      <c r="C283" s="488"/>
      <c r="D283" s="488"/>
      <c r="E283" s="489"/>
      <c r="F283" s="490" t="s">
        <v>104</v>
      </c>
      <c r="G283" s="491" t="s">
        <v>105</v>
      </c>
      <c r="H283" s="457"/>
    </row>
    <row r="284" spans="1:8">
      <c r="A284" s="469" t="s">
        <v>106</v>
      </c>
      <c r="B284" s="467"/>
      <c r="C284" s="467"/>
      <c r="D284" s="467"/>
      <c r="E284" s="468"/>
      <c r="F284" s="492">
        <f>PRESUPUESTO!$E$222</f>
        <v>0.109</v>
      </c>
      <c r="G284" s="493">
        <f>+F284*H281</f>
        <v>363266.84660333331</v>
      </c>
      <c r="H284" s="460"/>
    </row>
    <row r="285" spans="1:8">
      <c r="A285" s="469" t="s">
        <v>107</v>
      </c>
      <c r="B285" s="467"/>
      <c r="C285" s="467"/>
      <c r="D285" s="467"/>
      <c r="E285" s="468"/>
      <c r="F285" s="492">
        <f>PRESUPUESTO!$E$223</f>
        <v>0.05</v>
      </c>
      <c r="G285" s="493">
        <f>+F285*H281</f>
        <v>166636.16816666667</v>
      </c>
      <c r="H285" s="460"/>
    </row>
    <row r="286" spans="1:8" ht="15.75" thickBot="1">
      <c r="A286" s="472" t="s">
        <v>108</v>
      </c>
      <c r="B286" s="473"/>
      <c r="C286" s="473"/>
      <c r="D286" s="473"/>
      <c r="E286" s="474"/>
      <c r="F286" s="494">
        <v>0</v>
      </c>
      <c r="G286" s="495">
        <f>+F286*H281</f>
        <v>0</v>
      </c>
      <c r="H286" s="465"/>
    </row>
    <row r="287" spans="1:8" ht="15.75" thickBot="1">
      <c r="A287" s="436"/>
      <c r="B287" s="436"/>
      <c r="C287" s="436"/>
      <c r="D287" s="436"/>
      <c r="E287" s="436"/>
      <c r="F287" s="436"/>
      <c r="G287" s="437" t="s">
        <v>86</v>
      </c>
      <c r="H287" s="496">
        <f>SUM(G284:G286)</f>
        <v>529903.01477000001</v>
      </c>
    </row>
    <row r="288" spans="1:8" ht="15.75" thickBot="1">
      <c r="A288" s="436"/>
      <c r="B288" s="436"/>
      <c r="C288" s="436"/>
      <c r="D288" s="436"/>
      <c r="E288" s="436"/>
      <c r="F288" s="436"/>
      <c r="G288" s="436"/>
      <c r="H288" s="436"/>
    </row>
    <row r="289" spans="3:8" ht="15.75" thickBot="1">
      <c r="C289" s="436"/>
      <c r="D289" s="484" t="s">
        <v>109</v>
      </c>
      <c r="E289" s="485"/>
      <c r="F289" s="485"/>
      <c r="G289" s="485"/>
      <c r="H289" s="466">
        <f>ROUND((H281+H287),0)</f>
        <v>3862626</v>
      </c>
    </row>
  </sheetData>
  <mergeCells count="60">
    <mergeCell ref="A259:C259"/>
    <mergeCell ref="A268:C268"/>
    <mergeCell ref="A270:C270"/>
    <mergeCell ref="D247:H247"/>
    <mergeCell ref="A253:C253"/>
    <mergeCell ref="A254:C254"/>
    <mergeCell ref="A255:C255"/>
    <mergeCell ref="A256:C256"/>
    <mergeCell ref="B250:F250"/>
    <mergeCell ref="A208:C208"/>
    <mergeCell ref="A211:C211"/>
    <mergeCell ref="A220:C220"/>
    <mergeCell ref="A222:C222"/>
    <mergeCell ref="A245:C247"/>
    <mergeCell ref="A197:C199"/>
    <mergeCell ref="D199:H199"/>
    <mergeCell ref="A205:C205"/>
    <mergeCell ref="A206:C206"/>
    <mergeCell ref="A207:C207"/>
    <mergeCell ref="B202:F202"/>
    <mergeCell ref="A174:C174"/>
    <mergeCell ref="A113:C113"/>
    <mergeCell ref="A122:C122"/>
    <mergeCell ref="A124:C124"/>
    <mergeCell ref="A147:C149"/>
    <mergeCell ref="A156:C156"/>
    <mergeCell ref="A157:C157"/>
    <mergeCell ref="A158:C158"/>
    <mergeCell ref="A161:C161"/>
    <mergeCell ref="A172:C172"/>
    <mergeCell ref="D149:H149"/>
    <mergeCell ref="A155:C155"/>
    <mergeCell ref="A99:C101"/>
    <mergeCell ref="D101:H101"/>
    <mergeCell ref="A107:C107"/>
    <mergeCell ref="A108:C108"/>
    <mergeCell ref="A109:C109"/>
    <mergeCell ref="A110:C110"/>
    <mergeCell ref="B104:F104"/>
    <mergeCell ref="B152:F152"/>
    <mergeCell ref="A76:C76"/>
    <mergeCell ref="A17:C17"/>
    <mergeCell ref="A26:C26"/>
    <mergeCell ref="A28:C28"/>
    <mergeCell ref="A51:C53"/>
    <mergeCell ref="A60:C60"/>
    <mergeCell ref="A61:C61"/>
    <mergeCell ref="A62:C62"/>
    <mergeCell ref="A65:C65"/>
    <mergeCell ref="A74:C74"/>
    <mergeCell ref="D53:H53"/>
    <mergeCell ref="A59:C59"/>
    <mergeCell ref="A3:C5"/>
    <mergeCell ref="D5:H5"/>
    <mergeCell ref="A11:C11"/>
    <mergeCell ref="A12:C12"/>
    <mergeCell ref="A13:C13"/>
    <mergeCell ref="A14:C14"/>
    <mergeCell ref="B8:F8"/>
    <mergeCell ref="B56:F56"/>
  </mergeCells>
  <hyperlinks>
    <hyperlink ref="A1" r:id="rId1" location="PRESUPUESTO!A1" xr:uid="{00000000-0004-0000-0500-000000000000}"/>
    <hyperlink ref="A49" r:id="rId2" location="PRESUPUESTO!A1" xr:uid="{00000000-0004-0000-0500-000001000000}"/>
    <hyperlink ref="A97" r:id="rId3" location="PRESUPUESTO!A1" xr:uid="{00000000-0004-0000-0500-000002000000}"/>
    <hyperlink ref="A145" r:id="rId4" location="PRESUPUESTO!A1" xr:uid="{00000000-0004-0000-0500-000003000000}"/>
    <hyperlink ref="A195" r:id="rId5" location="PRESUPUESTO!A1" xr:uid="{E0EB7210-486D-49F6-A6B0-B4DE949EEA54}"/>
    <hyperlink ref="A243" r:id="rId6" location="PRESUPUESTO!A1" xr:uid="{9B8F9063-5CD2-48BE-9D1F-7690D751CEF8}"/>
    <hyperlink ref="I212" r:id="rId7" xr:uid="{AE405C88-DE4C-4669-93D7-6124ED581D2D}"/>
    <hyperlink ref="I260" r:id="rId8" xr:uid="{C252519F-A178-492F-9D40-D35A13FAAAA6}"/>
  </hyperlinks>
  <pageMargins left="0.7" right="0.7" top="0.75" bottom="0.75" header="0.3" footer="0.3"/>
  <pageSetup scale="87" orientation="portrait" r:id="rId9"/>
  <rowBreaks count="5" manualBreakCount="5">
    <brk id="47" max="7" man="1"/>
    <brk id="95" max="7" man="1"/>
    <brk id="143" max="7" man="1"/>
    <brk id="193" max="7" man="1"/>
    <brk id="242"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88FFE-01D8-4D5A-BB14-E0839A149BED}">
  <dimension ref="A1:N191"/>
  <sheetViews>
    <sheetView view="pageBreakPreview" topLeftCell="A173" zoomScale="130" zoomScaleNormal="100" zoomScaleSheetLayoutView="130" workbookViewId="0">
      <selection activeCell="I175" sqref="I175"/>
    </sheetView>
  </sheetViews>
  <sheetFormatPr baseColWidth="10" defaultRowHeight="15"/>
  <cols>
    <col min="1" max="1" width="11.42578125" style="446"/>
    <col min="2" max="2" width="10.42578125" style="446" customWidth="1"/>
    <col min="3" max="3" width="13" style="446" customWidth="1"/>
    <col min="4" max="8" width="11.42578125" style="446"/>
    <col min="10" max="10" width="14.140625" bestFit="1" customWidth="1"/>
    <col min="11" max="11" width="13" bestFit="1" customWidth="1"/>
    <col min="12" max="12" width="16.7109375" bestFit="1" customWidth="1"/>
    <col min="13" max="13" width="15.5703125" bestFit="1" customWidth="1"/>
    <col min="14" max="14" width="16.7109375" bestFit="1" customWidth="1"/>
  </cols>
  <sheetData>
    <row r="1" spans="1:8">
      <c r="A1" s="186" t="s">
        <v>77</v>
      </c>
    </row>
    <row r="2" spans="1:8" ht="15.75" thickBot="1"/>
    <row r="3" spans="1:8">
      <c r="A3" s="1348" t="s">
        <v>213</v>
      </c>
      <c r="B3" s="1349"/>
      <c r="C3" s="1350"/>
      <c r="D3" s="448"/>
      <c r="E3" s="448"/>
      <c r="F3" s="448"/>
      <c r="G3" s="448"/>
      <c r="H3" s="449"/>
    </row>
    <row r="4" spans="1:8">
      <c r="A4" s="1351"/>
      <c r="B4" s="1352"/>
      <c r="C4" s="1353"/>
      <c r="D4" s="436"/>
      <c r="E4" s="450" t="s">
        <v>78</v>
      </c>
      <c r="F4" s="436"/>
      <c r="G4" s="436"/>
      <c r="H4" s="451"/>
    </row>
    <row r="5" spans="1:8" ht="15.75" thickBot="1">
      <c r="A5" s="1354"/>
      <c r="B5" s="1355"/>
      <c r="C5" s="1356"/>
      <c r="D5" s="1360"/>
      <c r="E5" s="1361"/>
      <c r="F5" s="1361"/>
      <c r="G5" s="1361"/>
      <c r="H5" s="1362"/>
    </row>
    <row r="6" spans="1:8">
      <c r="A6" s="455"/>
      <c r="B6" s="436"/>
      <c r="C6" s="436"/>
      <c r="D6" s="436"/>
      <c r="E6" s="436"/>
      <c r="F6" s="436"/>
      <c r="G6" s="436"/>
      <c r="H6" s="436"/>
    </row>
    <row r="7" spans="1:8" s="446" customFormat="1" ht="12.75">
      <c r="A7" s="455" t="s">
        <v>1228</v>
      </c>
      <c r="B7" s="456" t="str">
        <f>+PRESUPUESTO!$B$211</f>
        <v>CARPINTERÍA METÁLICA</v>
      </c>
      <c r="C7" s="436"/>
      <c r="E7" s="456"/>
      <c r="G7" s="456" t="s">
        <v>1123</v>
      </c>
      <c r="H7" s="436" t="str">
        <f>+PRESUPUESTO!$A$213</f>
        <v>14.1.1</v>
      </c>
    </row>
    <row r="8" spans="1:8" s="931" customFormat="1" ht="55.9" customHeight="1">
      <c r="A8" s="928" t="s">
        <v>1122</v>
      </c>
      <c r="B8" s="1375" t="str">
        <f>VLOOKUP(H7,PRESUPUESTO!$A$18:$F$251,2,FALSE)</f>
        <v>Suministro e instalación de cortilla enrollable con fleje plano de 6 cm de alto, galvanizado C.24, riel en U, bandeja de 30x32 cm con sistema de candadis internos a ambos lados, volante en angulo de 1/2x1/8", incluye pintura de acabo final, para locales comerciales.</v>
      </c>
      <c r="C8" s="1375"/>
      <c r="D8" s="1375"/>
      <c r="E8" s="1375"/>
      <c r="F8" s="1375"/>
      <c r="G8" s="929" t="s">
        <v>9</v>
      </c>
      <c r="H8" s="1024" t="str">
        <f>VLOOKUP(H7,PRESUPUESTO!$A$18:$F$251,3,FALSE)</f>
        <v>m2</v>
      </c>
    </row>
    <row r="9" spans="1:8">
      <c r="A9" s="456"/>
      <c r="B9" s="456"/>
      <c r="C9" s="436"/>
      <c r="D9" s="456"/>
      <c r="E9" s="456"/>
      <c r="F9" s="456"/>
      <c r="G9" s="456"/>
      <c r="H9" s="436"/>
    </row>
    <row r="10" spans="1:8" ht="15.75" thickBot="1">
      <c r="A10" s="450" t="s">
        <v>79</v>
      </c>
      <c r="B10" s="450"/>
      <c r="C10" s="436"/>
      <c r="D10" s="436"/>
      <c r="E10" s="436"/>
      <c r="F10" s="436"/>
      <c r="G10" s="436"/>
      <c r="H10" s="436"/>
    </row>
    <row r="11" spans="1:8">
      <c r="A11" s="1345" t="s">
        <v>80</v>
      </c>
      <c r="B11" s="1346"/>
      <c r="C11" s="1347"/>
      <c r="D11" s="438" t="s">
        <v>81</v>
      </c>
      <c r="E11" s="438" t="s">
        <v>82</v>
      </c>
      <c r="F11" s="438" t="s">
        <v>83</v>
      </c>
      <c r="G11" s="439" t="s">
        <v>84</v>
      </c>
      <c r="H11" s="457"/>
    </row>
    <row r="12" spans="1:8">
      <c r="A12" s="1357" t="s">
        <v>85</v>
      </c>
      <c r="B12" s="1358"/>
      <c r="C12" s="1359"/>
      <c r="D12" s="459"/>
      <c r="E12" s="440"/>
      <c r="F12" s="440"/>
      <c r="G12" s="432">
        <f>ROUND(H37*0.05,0)</f>
        <v>0</v>
      </c>
      <c r="H12" s="460"/>
    </row>
    <row r="13" spans="1:8">
      <c r="A13" s="1357"/>
      <c r="B13" s="1358"/>
      <c r="C13" s="1359"/>
      <c r="D13" s="461"/>
      <c r="E13" s="462"/>
      <c r="F13" s="440"/>
      <c r="G13" s="432"/>
      <c r="H13" s="460"/>
    </row>
    <row r="14" spans="1:8" ht="15.75" thickBot="1">
      <c r="A14" s="1342"/>
      <c r="B14" s="1343"/>
      <c r="C14" s="1344"/>
      <c r="D14" s="464"/>
      <c r="E14" s="433"/>
      <c r="F14" s="434"/>
      <c r="G14" s="441"/>
      <c r="H14" s="465"/>
    </row>
    <row r="15" spans="1:8" ht="15.75" thickBot="1">
      <c r="A15" s="436"/>
      <c r="B15" s="436"/>
      <c r="C15" s="436"/>
      <c r="D15" s="436"/>
      <c r="E15" s="436"/>
      <c r="F15" s="436"/>
      <c r="G15" s="437" t="s">
        <v>86</v>
      </c>
      <c r="H15" s="466">
        <f>SUM(G12:G14)</f>
        <v>0</v>
      </c>
    </row>
    <row r="16" spans="1:8" ht="15.75" thickBot="1">
      <c r="A16" s="450" t="s">
        <v>87</v>
      </c>
      <c r="B16" s="450"/>
      <c r="C16" s="436"/>
      <c r="D16" s="436"/>
      <c r="E16" s="436"/>
      <c r="F16" s="436"/>
      <c r="G16" s="436"/>
      <c r="H16" s="436"/>
    </row>
    <row r="17" spans="1:10">
      <c r="A17" s="1345" t="s">
        <v>80</v>
      </c>
      <c r="B17" s="1346"/>
      <c r="C17" s="1347"/>
      <c r="D17" s="438" t="s">
        <v>88</v>
      </c>
      <c r="E17" s="438" t="s">
        <v>89</v>
      </c>
      <c r="F17" s="438" t="s">
        <v>90</v>
      </c>
      <c r="G17" s="439" t="s">
        <v>84</v>
      </c>
      <c r="H17" s="457"/>
    </row>
    <row r="18" spans="1:10">
      <c r="A18" s="458" t="s">
        <v>600</v>
      </c>
      <c r="B18" s="467"/>
      <c r="C18" s="468"/>
      <c r="D18" s="459" t="s">
        <v>216</v>
      </c>
      <c r="E18" s="430">
        <v>1273034</v>
      </c>
      <c r="F18" s="440">
        <v>1</v>
      </c>
      <c r="G18" s="432">
        <f>E18*F18</f>
        <v>1273034</v>
      </c>
      <c r="H18" s="460"/>
    </row>
    <row r="19" spans="1:10">
      <c r="A19" s="469"/>
      <c r="B19" s="467"/>
      <c r="C19" s="468"/>
      <c r="D19" s="459"/>
      <c r="E19" s="430"/>
      <c r="F19" s="431"/>
      <c r="G19" s="432"/>
      <c r="H19" s="460"/>
    </row>
    <row r="20" spans="1:10">
      <c r="A20" s="469" t="s">
        <v>93</v>
      </c>
      <c r="B20" s="467"/>
      <c r="C20" s="471">
        <v>0.05</v>
      </c>
      <c r="D20" s="459"/>
      <c r="E20" s="430"/>
      <c r="F20" s="431"/>
      <c r="G20" s="432"/>
      <c r="H20" s="460"/>
    </row>
    <row r="21" spans="1:10">
      <c r="A21" s="469"/>
      <c r="B21" s="467"/>
      <c r="C21" s="468"/>
      <c r="D21" s="459"/>
      <c r="E21" s="430"/>
      <c r="F21" s="431"/>
      <c r="G21" s="432"/>
      <c r="H21" s="460"/>
      <c r="J21" s="545"/>
    </row>
    <row r="22" spans="1:10">
      <c r="A22" s="469"/>
      <c r="B22" s="467"/>
      <c r="C22" s="468"/>
      <c r="D22" s="459"/>
      <c r="E22" s="430"/>
      <c r="F22" s="431"/>
      <c r="G22" s="432"/>
      <c r="H22" s="460"/>
      <c r="J22" s="559"/>
    </row>
    <row r="23" spans="1:10" ht="15.75" thickBot="1">
      <c r="A23" s="472"/>
      <c r="B23" s="473"/>
      <c r="C23" s="474"/>
      <c r="D23" s="464"/>
      <c r="E23" s="433"/>
      <c r="F23" s="434"/>
      <c r="G23" s="435"/>
      <c r="H23" s="465"/>
    </row>
    <row r="24" spans="1:10" ht="15.75" thickBot="1">
      <c r="A24" s="436"/>
      <c r="B24" s="436"/>
      <c r="C24" s="436"/>
      <c r="D24" s="436"/>
      <c r="E24" s="436"/>
      <c r="F24" s="436"/>
      <c r="G24" s="437" t="s">
        <v>86</v>
      </c>
      <c r="H24" s="466">
        <f>SUM(G18:G23)</f>
        <v>1273034</v>
      </c>
    </row>
    <row r="25" spans="1:10" ht="15.75" thickBot="1">
      <c r="A25" s="450" t="s">
        <v>94</v>
      </c>
      <c r="B25" s="450"/>
      <c r="C25" s="436"/>
      <c r="D25" s="436"/>
      <c r="E25" s="436"/>
      <c r="F25" s="436"/>
      <c r="G25" s="436"/>
      <c r="H25" s="436"/>
    </row>
    <row r="26" spans="1:10">
      <c r="A26" s="1345" t="s">
        <v>95</v>
      </c>
      <c r="B26" s="1346"/>
      <c r="C26" s="1347"/>
      <c r="D26" s="438" t="s">
        <v>88</v>
      </c>
      <c r="E26" s="438" t="s">
        <v>89</v>
      </c>
      <c r="F26" s="438" t="s">
        <v>90</v>
      </c>
      <c r="G26" s="439" t="s">
        <v>84</v>
      </c>
      <c r="H26" s="457"/>
    </row>
    <row r="27" spans="1:10">
      <c r="A27" s="458" t="s">
        <v>601</v>
      </c>
      <c r="B27" s="467"/>
      <c r="C27" s="468"/>
      <c r="D27" s="459" t="s">
        <v>237</v>
      </c>
      <c r="E27" s="430">
        <v>11500</v>
      </c>
      <c r="F27" s="440">
        <v>1</v>
      </c>
      <c r="G27" s="432">
        <f>E27*F27</f>
        <v>11500</v>
      </c>
      <c r="H27" s="460"/>
    </row>
    <row r="28" spans="1:10" ht="15.75" thickBot="1">
      <c r="A28" s="1342"/>
      <c r="B28" s="1343"/>
      <c r="C28" s="1344"/>
      <c r="D28" s="475"/>
      <c r="E28" s="433"/>
      <c r="F28" s="434"/>
      <c r="G28" s="441"/>
      <c r="H28" s="460"/>
    </row>
    <row r="29" spans="1:10" ht="15.75" thickBot="1">
      <c r="A29" s="436"/>
      <c r="B29" s="436"/>
      <c r="C29" s="436"/>
      <c r="D29" s="436"/>
      <c r="E29" s="436"/>
      <c r="F29" s="436"/>
      <c r="G29" s="437" t="s">
        <v>86</v>
      </c>
      <c r="H29" s="466">
        <f>SUM(G27:G28)</f>
        <v>11500</v>
      </c>
    </row>
    <row r="30" spans="1:10" ht="15.75" thickBot="1">
      <c r="A30" s="450" t="s">
        <v>96</v>
      </c>
      <c r="B30" s="450"/>
      <c r="C30" s="436"/>
      <c r="D30" s="436"/>
      <c r="E30" s="436"/>
      <c r="F30" s="436"/>
      <c r="G30" s="436"/>
      <c r="H30" s="436"/>
    </row>
    <row r="31" spans="1:10">
      <c r="A31" s="476" t="s">
        <v>97</v>
      </c>
      <c r="B31" s="438"/>
      <c r="C31" s="438" t="s">
        <v>98</v>
      </c>
      <c r="D31" s="438" t="s">
        <v>99</v>
      </c>
      <c r="E31" s="442" t="s">
        <v>100</v>
      </c>
      <c r="F31" s="443" t="s">
        <v>83</v>
      </c>
      <c r="G31" s="444" t="s">
        <v>84</v>
      </c>
      <c r="H31" s="477"/>
    </row>
    <row r="32" spans="1:10">
      <c r="A32" s="478"/>
      <c r="B32" s="468"/>
      <c r="C32" s="479"/>
      <c r="D32" s="480"/>
      <c r="E32" s="440"/>
      <c r="F32" s="440"/>
      <c r="G32" s="445"/>
      <c r="H32" s="451"/>
    </row>
    <row r="33" spans="1:8">
      <c r="A33" s="478"/>
      <c r="B33" s="467"/>
      <c r="C33" s="479"/>
      <c r="D33" s="480"/>
      <c r="E33" s="440"/>
      <c r="F33" s="440"/>
      <c r="G33" s="445"/>
      <c r="H33" s="451"/>
    </row>
    <row r="34" spans="1:8">
      <c r="A34" s="478"/>
      <c r="B34" s="468"/>
      <c r="C34" s="430"/>
      <c r="D34" s="459"/>
      <c r="E34" s="430"/>
      <c r="F34" s="440"/>
      <c r="G34" s="445"/>
      <c r="H34" s="451"/>
    </row>
    <row r="35" spans="1:8">
      <c r="A35" s="478"/>
      <c r="B35" s="468"/>
      <c r="C35" s="430"/>
      <c r="D35" s="459"/>
      <c r="E35" s="430"/>
      <c r="F35" s="440"/>
      <c r="G35" s="445"/>
      <c r="H35" s="451"/>
    </row>
    <row r="36" spans="1:8" ht="15.75" thickBot="1">
      <c r="A36" s="481"/>
      <c r="B36" s="474"/>
      <c r="C36" s="474"/>
      <c r="D36" s="474"/>
      <c r="E36" s="474"/>
      <c r="F36" s="474"/>
      <c r="G36" s="482"/>
      <c r="H36" s="482"/>
    </row>
    <row r="37" spans="1:8" ht="15.75" thickBot="1">
      <c r="A37" s="436"/>
      <c r="B37" s="436"/>
      <c r="C37" s="436"/>
      <c r="D37" s="436"/>
      <c r="E37" s="436"/>
      <c r="F37" s="436"/>
      <c r="G37" s="437" t="s">
        <v>86</v>
      </c>
      <c r="H37" s="466">
        <f>SUM(G32:G36)</f>
        <v>0</v>
      </c>
    </row>
    <row r="38" spans="1:8" ht="15.75" thickBot="1">
      <c r="A38" s="436"/>
      <c r="B38" s="436"/>
      <c r="C38" s="436"/>
      <c r="D38" s="436"/>
      <c r="E38" s="436"/>
      <c r="F38" s="436"/>
      <c r="G38" s="483"/>
      <c r="H38" s="436"/>
    </row>
    <row r="39" spans="1:8" ht="15.75" thickBot="1">
      <c r="A39" s="436"/>
      <c r="B39" s="436"/>
      <c r="C39" s="436"/>
      <c r="D39" s="436"/>
      <c r="E39" s="484" t="s">
        <v>102</v>
      </c>
      <c r="F39" s="485"/>
      <c r="G39" s="485"/>
      <c r="H39" s="466">
        <f>H15+H24+H29+H37</f>
        <v>1284534</v>
      </c>
    </row>
    <row r="40" spans="1:8" ht="15.75" thickBot="1">
      <c r="A40" s="450" t="s">
        <v>103</v>
      </c>
      <c r="B40" s="450"/>
      <c r="C40" s="436"/>
      <c r="D40" s="436"/>
      <c r="E40" s="436"/>
      <c r="F40" s="436"/>
      <c r="G40" s="436"/>
      <c r="H40" s="436"/>
    </row>
    <row r="41" spans="1:8">
      <c r="A41" s="487" t="s">
        <v>80</v>
      </c>
      <c r="B41" s="488"/>
      <c r="C41" s="488"/>
      <c r="D41" s="488"/>
      <c r="E41" s="489"/>
      <c r="F41" s="490" t="s">
        <v>104</v>
      </c>
      <c r="G41" s="491" t="s">
        <v>105</v>
      </c>
      <c r="H41" s="457"/>
    </row>
    <row r="42" spans="1:8">
      <c r="A42" s="469" t="s">
        <v>106</v>
      </c>
      <c r="B42" s="467"/>
      <c r="C42" s="467"/>
      <c r="D42" s="467"/>
      <c r="E42" s="468"/>
      <c r="F42" s="492">
        <f>PRESUPUESTO!$E$222</f>
        <v>0.109</v>
      </c>
      <c r="G42" s="493">
        <f>+F42*H39</f>
        <v>140014.20600000001</v>
      </c>
      <c r="H42" s="460"/>
    </row>
    <row r="43" spans="1:8">
      <c r="A43" s="469" t="s">
        <v>107</v>
      </c>
      <c r="B43" s="467"/>
      <c r="C43" s="467"/>
      <c r="D43" s="467"/>
      <c r="E43" s="468"/>
      <c r="F43" s="492">
        <f>PRESUPUESTO!$E$223</f>
        <v>0.05</v>
      </c>
      <c r="G43" s="493">
        <f>+F43*H39</f>
        <v>64226.700000000004</v>
      </c>
      <c r="H43" s="460"/>
    </row>
    <row r="44" spans="1:8" ht="15.75" thickBot="1">
      <c r="A44" s="472" t="s">
        <v>108</v>
      </c>
      <c r="B44" s="473"/>
      <c r="C44" s="473"/>
      <c r="D44" s="473"/>
      <c r="E44" s="474"/>
      <c r="F44" s="494">
        <v>0</v>
      </c>
      <c r="G44" s="495">
        <f>+F44*H39</f>
        <v>0</v>
      </c>
      <c r="H44" s="465"/>
    </row>
    <row r="45" spans="1:8" ht="15.75" thickBot="1">
      <c r="A45" s="436"/>
      <c r="B45" s="436"/>
      <c r="C45" s="436"/>
      <c r="D45" s="436"/>
      <c r="E45" s="436"/>
      <c r="F45" s="436"/>
      <c r="G45" s="437" t="s">
        <v>86</v>
      </c>
      <c r="H45" s="496">
        <f>SUM(G42:G44)</f>
        <v>204240.90600000002</v>
      </c>
    </row>
    <row r="46" spans="1:8" ht="15.75" thickBot="1">
      <c r="A46" s="436"/>
      <c r="B46" s="436"/>
      <c r="C46" s="436"/>
      <c r="D46" s="436"/>
      <c r="E46" s="436"/>
      <c r="F46" s="436"/>
      <c r="G46" s="436"/>
      <c r="H46" s="436"/>
    </row>
    <row r="47" spans="1:8" ht="15.75" thickBot="1">
      <c r="C47" s="436"/>
      <c r="D47" s="484" t="s">
        <v>109</v>
      </c>
      <c r="E47" s="485"/>
      <c r="F47" s="485"/>
      <c r="G47" s="485"/>
      <c r="H47" s="466">
        <f>ROUND((H39+H45),0)</f>
        <v>1488775</v>
      </c>
    </row>
    <row r="49" spans="1:8">
      <c r="A49" s="186" t="s">
        <v>77</v>
      </c>
    </row>
    <row r="50" spans="1:8" ht="15.75" thickBot="1"/>
    <row r="51" spans="1:8">
      <c r="A51" s="1348" t="s">
        <v>213</v>
      </c>
      <c r="B51" s="1349"/>
      <c r="C51" s="1350"/>
      <c r="D51" s="448"/>
      <c r="E51" s="448"/>
      <c r="F51" s="448"/>
      <c r="G51" s="448"/>
      <c r="H51" s="449"/>
    </row>
    <row r="52" spans="1:8">
      <c r="A52" s="1351"/>
      <c r="B52" s="1352"/>
      <c r="C52" s="1353"/>
      <c r="D52" s="436"/>
      <c r="E52" s="450" t="s">
        <v>78</v>
      </c>
      <c r="F52" s="436"/>
      <c r="G52" s="436"/>
      <c r="H52" s="451"/>
    </row>
    <row r="53" spans="1:8" ht="15.75" thickBot="1">
      <c r="A53" s="1354"/>
      <c r="B53" s="1355"/>
      <c r="C53" s="1356"/>
      <c r="D53" s="1360"/>
      <c r="E53" s="1361"/>
      <c r="F53" s="1361"/>
      <c r="G53" s="1361"/>
      <c r="H53" s="1362"/>
    </row>
    <row r="54" spans="1:8">
      <c r="A54" s="455"/>
      <c r="B54" s="436"/>
      <c r="C54" s="436"/>
      <c r="D54" s="436"/>
      <c r="E54" s="436"/>
      <c r="F54" s="436"/>
      <c r="G54" s="436"/>
      <c r="H54" s="436"/>
    </row>
    <row r="55" spans="1:8" s="446" customFormat="1" ht="12.75">
      <c r="A55" s="455" t="s">
        <v>1228</v>
      </c>
      <c r="B55" s="456" t="str">
        <f>+PRESUPUESTO!$B$211</f>
        <v>CARPINTERÍA METÁLICA</v>
      </c>
      <c r="C55" s="436"/>
      <c r="E55" s="456"/>
      <c r="G55" s="456" t="s">
        <v>1123</v>
      </c>
      <c r="H55" s="436" t="str">
        <f>+PRESUPUESTO!A215</f>
        <v>14.2.1</v>
      </c>
    </row>
    <row r="56" spans="1:8" s="931" customFormat="1" ht="55.9" customHeight="1">
      <c r="A56" s="928" t="s">
        <v>1122</v>
      </c>
      <c r="B56" s="1375" t="str">
        <f>VLOOKUP(H55,PRESUPUESTO!$A$18:$F$251,2,FALSE)</f>
        <v>Suministro e instalación de puerta batiente en acero inoxidable de 86x94 cm, para locales comerciales.</v>
      </c>
      <c r="C56" s="1375"/>
      <c r="D56" s="1375"/>
      <c r="E56" s="1375"/>
      <c r="F56" s="1375"/>
      <c r="G56" s="929" t="s">
        <v>9</v>
      </c>
      <c r="H56" s="1024" t="str">
        <f>VLOOKUP(H55,PRESUPUESTO!$A$18:$F$251,3,FALSE)</f>
        <v>un</v>
      </c>
    </row>
    <row r="57" spans="1:8">
      <c r="A57" s="456"/>
      <c r="B57" s="456"/>
      <c r="C57" s="436"/>
      <c r="D57" s="456"/>
      <c r="E57" s="456"/>
      <c r="F57" s="456"/>
      <c r="G57" s="456"/>
      <c r="H57" s="436"/>
    </row>
    <row r="58" spans="1:8" ht="15.75" thickBot="1">
      <c r="A58" s="450" t="s">
        <v>79</v>
      </c>
      <c r="B58" s="450"/>
      <c r="C58" s="436"/>
      <c r="D58" s="436"/>
      <c r="E58" s="436"/>
      <c r="F58" s="436"/>
      <c r="G58" s="436"/>
      <c r="H58" s="436"/>
    </row>
    <row r="59" spans="1:8">
      <c r="A59" s="1345" t="s">
        <v>80</v>
      </c>
      <c r="B59" s="1346"/>
      <c r="C59" s="1347"/>
      <c r="D59" s="438" t="s">
        <v>81</v>
      </c>
      <c r="E59" s="438" t="s">
        <v>82</v>
      </c>
      <c r="F59" s="438" t="s">
        <v>83</v>
      </c>
      <c r="G59" s="439" t="s">
        <v>84</v>
      </c>
      <c r="H59" s="457"/>
    </row>
    <row r="60" spans="1:8">
      <c r="A60" s="1357" t="s">
        <v>85</v>
      </c>
      <c r="B60" s="1358"/>
      <c r="C60" s="1359"/>
      <c r="D60" s="459"/>
      <c r="E60" s="440"/>
      <c r="F60" s="440"/>
      <c r="G60" s="432">
        <f>ROUND(H85*0.05,0)</f>
        <v>3040</v>
      </c>
      <c r="H60" s="460"/>
    </row>
    <row r="61" spans="1:8">
      <c r="A61" s="1357"/>
      <c r="B61" s="1358"/>
      <c r="C61" s="1359"/>
      <c r="D61" s="461"/>
      <c r="E61" s="462"/>
      <c r="F61" s="440"/>
      <c r="G61" s="432"/>
      <c r="H61" s="460"/>
    </row>
    <row r="62" spans="1:8" ht="15.75" thickBot="1">
      <c r="A62" s="1342"/>
      <c r="B62" s="1343"/>
      <c r="C62" s="1344"/>
      <c r="D62" s="464"/>
      <c r="E62" s="433"/>
      <c r="F62" s="434"/>
      <c r="G62" s="441"/>
      <c r="H62" s="465"/>
    </row>
    <row r="63" spans="1:8" ht="15.75" thickBot="1">
      <c r="A63" s="436"/>
      <c r="B63" s="436"/>
      <c r="C63" s="436"/>
      <c r="D63" s="436"/>
      <c r="E63" s="436"/>
      <c r="F63" s="436"/>
      <c r="G63" s="437" t="s">
        <v>86</v>
      </c>
      <c r="H63" s="466">
        <f>SUM(G60:G62)</f>
        <v>3040</v>
      </c>
    </row>
    <row r="64" spans="1:8" ht="15.75" thickBot="1">
      <c r="A64" s="450" t="s">
        <v>87</v>
      </c>
      <c r="B64" s="450"/>
      <c r="C64" s="436"/>
      <c r="D64" s="436"/>
      <c r="E64" s="436"/>
      <c r="F64" s="436"/>
      <c r="G64" s="436"/>
      <c r="H64" s="436"/>
    </row>
    <row r="65" spans="1:8">
      <c r="A65" s="1345" t="s">
        <v>80</v>
      </c>
      <c r="B65" s="1346"/>
      <c r="C65" s="1347"/>
      <c r="D65" s="438" t="s">
        <v>88</v>
      </c>
      <c r="E65" s="438" t="s">
        <v>89</v>
      </c>
      <c r="F65" s="438" t="s">
        <v>90</v>
      </c>
      <c r="G65" s="439" t="s">
        <v>84</v>
      </c>
      <c r="H65" s="457"/>
    </row>
    <row r="66" spans="1:8">
      <c r="A66" s="458" t="s">
        <v>602</v>
      </c>
      <c r="B66" s="467"/>
      <c r="C66" s="468"/>
      <c r="D66" s="459" t="s">
        <v>268</v>
      </c>
      <c r="E66" s="674">
        <f>1100000</f>
        <v>1100000</v>
      </c>
      <c r="F66" s="440">
        <v>1</v>
      </c>
      <c r="G66" s="432">
        <f>E66*F66</f>
        <v>1100000</v>
      </c>
      <c r="H66" s="460"/>
    </row>
    <row r="67" spans="1:8">
      <c r="A67" s="469"/>
      <c r="B67" s="467"/>
      <c r="C67" s="468"/>
      <c r="D67" s="459"/>
      <c r="E67" s="430"/>
      <c r="F67" s="431"/>
      <c r="G67" s="432"/>
      <c r="H67" s="460"/>
    </row>
    <row r="68" spans="1:8">
      <c r="A68" s="469" t="s">
        <v>93</v>
      </c>
      <c r="B68" s="467"/>
      <c r="C68" s="471">
        <v>0.05</v>
      </c>
      <c r="D68" s="459"/>
      <c r="E68" s="430"/>
      <c r="F68" s="431"/>
      <c r="G68" s="432"/>
      <c r="H68" s="460"/>
    </row>
    <row r="69" spans="1:8">
      <c r="A69" s="469"/>
      <c r="B69" s="467"/>
      <c r="C69" s="468"/>
      <c r="D69" s="459"/>
      <c r="E69" s="430"/>
      <c r="F69" s="431"/>
      <c r="G69" s="432"/>
      <c r="H69" s="460"/>
    </row>
    <row r="70" spans="1:8">
      <c r="A70" s="469"/>
      <c r="B70" s="467"/>
      <c r="C70" s="468"/>
      <c r="D70" s="459"/>
      <c r="E70" s="430"/>
      <c r="F70" s="431"/>
      <c r="G70" s="432"/>
      <c r="H70" s="460"/>
    </row>
    <row r="71" spans="1:8" ht="15.75" thickBot="1">
      <c r="A71" s="472"/>
      <c r="B71" s="473"/>
      <c r="C71" s="474"/>
      <c r="D71" s="464"/>
      <c r="E71" s="433"/>
      <c r="F71" s="434"/>
      <c r="G71" s="435"/>
      <c r="H71" s="465"/>
    </row>
    <row r="72" spans="1:8" ht="15.75" thickBot="1">
      <c r="A72" s="436"/>
      <c r="B72" s="436"/>
      <c r="C72" s="436"/>
      <c r="D72" s="436"/>
      <c r="E72" s="436"/>
      <c r="F72" s="436"/>
      <c r="G72" s="437" t="s">
        <v>86</v>
      </c>
      <c r="H72" s="466">
        <f>SUM(G66:G71)</f>
        <v>1100000</v>
      </c>
    </row>
    <row r="73" spans="1:8" ht="15.75" thickBot="1">
      <c r="A73" s="450" t="s">
        <v>94</v>
      </c>
      <c r="B73" s="450"/>
      <c r="C73" s="436"/>
      <c r="D73" s="436"/>
      <c r="E73" s="436"/>
      <c r="F73" s="436"/>
      <c r="G73" s="436"/>
      <c r="H73" s="436"/>
    </row>
    <row r="74" spans="1:8">
      <c r="A74" s="1345" t="s">
        <v>95</v>
      </c>
      <c r="B74" s="1346"/>
      <c r="C74" s="1347"/>
      <c r="D74" s="438" t="s">
        <v>88</v>
      </c>
      <c r="E74" s="438" t="s">
        <v>89</v>
      </c>
      <c r="F74" s="438" t="s">
        <v>90</v>
      </c>
      <c r="G74" s="439" t="s">
        <v>84</v>
      </c>
      <c r="H74" s="457"/>
    </row>
    <row r="75" spans="1:8">
      <c r="A75" s="458" t="s">
        <v>602</v>
      </c>
      <c r="B75" s="467"/>
      <c r="C75" s="468"/>
      <c r="D75" s="459" t="s">
        <v>268</v>
      </c>
      <c r="E75" s="430">
        <v>20000</v>
      </c>
      <c r="F75" s="440">
        <v>1</v>
      </c>
      <c r="G75" s="432">
        <f>E75*F75</f>
        <v>20000</v>
      </c>
      <c r="H75" s="460"/>
    </row>
    <row r="76" spans="1:8" ht="15.75" thickBot="1">
      <c r="A76" s="1342"/>
      <c r="B76" s="1343"/>
      <c r="C76" s="1344"/>
      <c r="D76" s="475"/>
      <c r="E76" s="433"/>
      <c r="F76" s="434"/>
      <c r="G76" s="441"/>
      <c r="H76" s="460"/>
    </row>
    <row r="77" spans="1:8" ht="15.75" thickBot="1">
      <c r="A77" s="436"/>
      <c r="B77" s="436"/>
      <c r="C77" s="436"/>
      <c r="D77" s="436"/>
      <c r="E77" s="436"/>
      <c r="F77" s="436"/>
      <c r="G77" s="437" t="s">
        <v>86</v>
      </c>
      <c r="H77" s="466">
        <f>SUM(G75:G76)</f>
        <v>20000</v>
      </c>
    </row>
    <row r="78" spans="1:8" ht="15.75" thickBot="1">
      <c r="A78" s="450" t="s">
        <v>96</v>
      </c>
      <c r="B78" s="450"/>
      <c r="C78" s="436"/>
      <c r="D78" s="436"/>
      <c r="E78" s="436"/>
      <c r="F78" s="436"/>
      <c r="G78" s="436"/>
      <c r="H78" s="436"/>
    </row>
    <row r="79" spans="1:8">
      <c r="A79" s="476" t="s">
        <v>97</v>
      </c>
      <c r="B79" s="438"/>
      <c r="C79" s="438" t="s">
        <v>98</v>
      </c>
      <c r="D79" s="438" t="s">
        <v>99</v>
      </c>
      <c r="E79" s="442" t="s">
        <v>100</v>
      </c>
      <c r="F79" s="443" t="s">
        <v>83</v>
      </c>
      <c r="G79" s="444" t="s">
        <v>84</v>
      </c>
      <c r="H79" s="477"/>
    </row>
    <row r="80" spans="1:8">
      <c r="A80" s="478" t="s">
        <v>101</v>
      </c>
      <c r="B80" s="467"/>
      <c r="C80" s="479">
        <f>PERSONAL!$E$32</f>
        <v>87200</v>
      </c>
      <c r="D80" s="480">
        <f>PERSONAL!$F$31</f>
        <v>1.7431000000000001</v>
      </c>
      <c r="E80" s="440">
        <f>+D80*C80</f>
        <v>151998.32</v>
      </c>
      <c r="F80" s="440">
        <v>2.5</v>
      </c>
      <c r="G80" s="445">
        <f>ROUND(E80/F80,0)</f>
        <v>60799</v>
      </c>
      <c r="H80" s="451"/>
    </row>
    <row r="81" spans="1:8">
      <c r="A81" s="478"/>
      <c r="B81" s="467"/>
      <c r="C81" s="479"/>
      <c r="D81" s="480"/>
      <c r="E81" s="440"/>
      <c r="F81" s="440"/>
      <c r="G81" s="445"/>
      <c r="H81" s="451"/>
    </row>
    <row r="82" spans="1:8">
      <c r="A82" s="478"/>
      <c r="B82" s="468"/>
      <c r="C82" s="430"/>
      <c r="D82" s="459"/>
      <c r="E82" s="430"/>
      <c r="F82" s="440"/>
      <c r="G82" s="445"/>
      <c r="H82" s="451"/>
    </row>
    <row r="83" spans="1:8">
      <c r="A83" s="478"/>
      <c r="B83" s="468"/>
      <c r="C83" s="430"/>
      <c r="D83" s="459"/>
      <c r="E83" s="430"/>
      <c r="F83" s="440"/>
      <c r="G83" s="445"/>
      <c r="H83" s="451"/>
    </row>
    <row r="84" spans="1:8" ht="15.75" thickBot="1">
      <c r="A84" s="481"/>
      <c r="B84" s="474"/>
      <c r="C84" s="474"/>
      <c r="D84" s="474"/>
      <c r="E84" s="474"/>
      <c r="F84" s="474"/>
      <c r="G84" s="482"/>
      <c r="H84" s="482"/>
    </row>
    <row r="85" spans="1:8" ht="15.75" thickBot="1">
      <c r="A85" s="436"/>
      <c r="B85" s="436"/>
      <c r="C85" s="436"/>
      <c r="D85" s="436"/>
      <c r="E85" s="436"/>
      <c r="F85" s="436"/>
      <c r="G85" s="437" t="s">
        <v>86</v>
      </c>
      <c r="H85" s="466">
        <f>SUM(G80:G84)</f>
        <v>60799</v>
      </c>
    </row>
    <row r="86" spans="1:8" ht="15.75" thickBot="1">
      <c r="A86" s="436"/>
      <c r="B86" s="436"/>
      <c r="C86" s="436"/>
      <c r="D86" s="436"/>
      <c r="E86" s="436"/>
      <c r="F86" s="436"/>
      <c r="G86" s="483"/>
      <c r="H86" s="436"/>
    </row>
    <row r="87" spans="1:8" ht="15.75" thickBot="1">
      <c r="A87" s="436"/>
      <c r="B87" s="436"/>
      <c r="C87" s="436"/>
      <c r="D87" s="436"/>
      <c r="E87" s="484" t="s">
        <v>102</v>
      </c>
      <c r="F87" s="485"/>
      <c r="G87" s="485"/>
      <c r="H87" s="466">
        <f>H63+H72+H77+H85</f>
        <v>1183839</v>
      </c>
    </row>
    <row r="88" spans="1:8" ht="15.75" thickBot="1">
      <c r="A88" s="450" t="s">
        <v>103</v>
      </c>
      <c r="B88" s="450"/>
      <c r="C88" s="436"/>
      <c r="D88" s="436"/>
      <c r="E88" s="436"/>
      <c r="F88" s="436"/>
      <c r="G88" s="436"/>
      <c r="H88" s="436"/>
    </row>
    <row r="89" spans="1:8">
      <c r="A89" s="487" t="s">
        <v>80</v>
      </c>
      <c r="B89" s="488"/>
      <c r="C89" s="488"/>
      <c r="D89" s="488"/>
      <c r="E89" s="489"/>
      <c r="F89" s="490" t="s">
        <v>104</v>
      </c>
      <c r="G89" s="491" t="s">
        <v>105</v>
      </c>
      <c r="H89" s="457"/>
    </row>
    <row r="90" spans="1:8">
      <c r="A90" s="469" t="s">
        <v>106</v>
      </c>
      <c r="B90" s="467"/>
      <c r="C90" s="467"/>
      <c r="D90" s="467"/>
      <c r="E90" s="468"/>
      <c r="F90" s="492">
        <f>PRESUPUESTO!$E$222</f>
        <v>0.109</v>
      </c>
      <c r="G90" s="493">
        <f>+F90*H87</f>
        <v>129038.451</v>
      </c>
      <c r="H90" s="460"/>
    </row>
    <row r="91" spans="1:8">
      <c r="A91" s="469" t="s">
        <v>107</v>
      </c>
      <c r="B91" s="467"/>
      <c r="C91" s="467"/>
      <c r="D91" s="467"/>
      <c r="E91" s="468"/>
      <c r="F91" s="492">
        <f>PRESUPUESTO!$E$223</f>
        <v>0.05</v>
      </c>
      <c r="G91" s="493">
        <f>+F91*H87</f>
        <v>59191.950000000004</v>
      </c>
      <c r="H91" s="460"/>
    </row>
    <row r="92" spans="1:8" ht="15.75" thickBot="1">
      <c r="A92" s="472" t="s">
        <v>108</v>
      </c>
      <c r="B92" s="473"/>
      <c r="C92" s="473"/>
      <c r="D92" s="473"/>
      <c r="E92" s="474"/>
      <c r="F92" s="494">
        <v>0</v>
      </c>
      <c r="G92" s="495">
        <f>+F92*H87</f>
        <v>0</v>
      </c>
      <c r="H92" s="465"/>
    </row>
    <row r="93" spans="1:8" ht="15.75" thickBot="1">
      <c r="A93" s="436"/>
      <c r="B93" s="436"/>
      <c r="C93" s="436"/>
      <c r="D93" s="436"/>
      <c r="E93" s="436"/>
      <c r="F93" s="436"/>
      <c r="G93" s="437" t="s">
        <v>86</v>
      </c>
      <c r="H93" s="496">
        <f>SUM(G90:G92)</f>
        <v>188230.40100000001</v>
      </c>
    </row>
    <row r="94" spans="1:8" ht="15.75" thickBot="1">
      <c r="A94" s="436"/>
      <c r="B94" s="436"/>
      <c r="C94" s="436"/>
      <c r="D94" s="436"/>
      <c r="E94" s="436"/>
      <c r="F94" s="436"/>
      <c r="G94" s="436"/>
      <c r="H94" s="436"/>
    </row>
    <row r="95" spans="1:8" ht="15.75" thickBot="1">
      <c r="C95" s="436"/>
      <c r="D95" s="484" t="s">
        <v>109</v>
      </c>
      <c r="E95" s="485"/>
      <c r="F95" s="485"/>
      <c r="G95" s="485"/>
      <c r="H95" s="466">
        <f>ROUND((H87+H93),0)</f>
        <v>1372069</v>
      </c>
    </row>
    <row r="97" spans="1:14">
      <c r="A97" s="186" t="s">
        <v>77</v>
      </c>
    </row>
    <row r="98" spans="1:14" ht="15.75" thickBot="1"/>
    <row r="99" spans="1:14">
      <c r="A99" s="1348" t="s">
        <v>213</v>
      </c>
      <c r="B99" s="1349"/>
      <c r="C99" s="1350"/>
      <c r="D99" s="448"/>
      <c r="E99" s="448"/>
      <c r="F99" s="448"/>
      <c r="G99" s="448"/>
      <c r="H99" s="449"/>
    </row>
    <row r="100" spans="1:14">
      <c r="A100" s="1351"/>
      <c r="B100" s="1352"/>
      <c r="C100" s="1353"/>
      <c r="D100" s="436"/>
      <c r="E100" s="450" t="s">
        <v>78</v>
      </c>
      <c r="F100" s="436"/>
      <c r="G100" s="436"/>
      <c r="H100" s="451"/>
    </row>
    <row r="101" spans="1:14" ht="15.75" thickBot="1">
      <c r="A101" s="1354"/>
      <c r="B101" s="1355"/>
      <c r="C101" s="1356"/>
      <c r="D101" s="1360"/>
      <c r="E101" s="1361"/>
      <c r="F101" s="1361"/>
      <c r="G101" s="1361"/>
      <c r="H101" s="1362"/>
    </row>
    <row r="102" spans="1:14">
      <c r="A102" s="455"/>
      <c r="B102" s="436"/>
      <c r="C102" s="436"/>
      <c r="D102" s="436"/>
      <c r="E102" s="436"/>
      <c r="F102" s="436"/>
      <c r="G102" s="436"/>
      <c r="H102" s="436"/>
    </row>
    <row r="103" spans="1:14" s="446" customFormat="1" ht="12.75">
      <c r="A103" s="455" t="s">
        <v>1228</v>
      </c>
      <c r="B103" s="456" t="str">
        <f>+PRESUPUESTO!$B$211</f>
        <v>CARPINTERÍA METÁLICA</v>
      </c>
      <c r="C103" s="436"/>
      <c r="E103" s="456"/>
      <c r="G103" s="456" t="s">
        <v>1123</v>
      </c>
      <c r="H103" s="436" t="str">
        <f>+PRESUPUESTO!$A$217</f>
        <v>14.3.1</v>
      </c>
    </row>
    <row r="104" spans="1:14" s="931" customFormat="1" ht="55.9" customHeight="1">
      <c r="A104" s="928" t="s">
        <v>1122</v>
      </c>
      <c r="B104" s="1375" t="str">
        <f>VLOOKUP(H103,PRESUPUESTO!$A$18:$F$251,2,FALSE)</f>
        <v>Suministro e instalación de mesón de 1.5x0.6 m en acero inoxidable, incluye pozuelo, para locales comerciales.</v>
      </c>
      <c r="C104" s="1375"/>
      <c r="D104" s="1375"/>
      <c r="E104" s="1375"/>
      <c r="F104" s="1375"/>
      <c r="G104" s="929" t="s">
        <v>9</v>
      </c>
      <c r="H104" s="1024" t="str">
        <f>VLOOKUP(H103,PRESUPUESTO!$A$18:$F$251,3,FALSE)</f>
        <v>un</v>
      </c>
    </row>
    <row r="105" spans="1:14">
      <c r="A105" s="456"/>
      <c r="B105" s="456"/>
      <c r="C105" s="436"/>
      <c r="D105" s="456"/>
      <c r="E105" s="456"/>
      <c r="F105" s="456"/>
      <c r="G105" s="456"/>
      <c r="H105" s="436"/>
    </row>
    <row r="106" spans="1:14" ht="15.75" thickBot="1">
      <c r="A106" s="450" t="s">
        <v>79</v>
      </c>
      <c r="B106" s="450"/>
      <c r="C106" s="436"/>
      <c r="D106" s="436"/>
      <c r="E106" s="436"/>
      <c r="F106" s="436"/>
      <c r="G106" s="436"/>
      <c r="H106" s="436"/>
    </row>
    <row r="107" spans="1:14">
      <c r="A107" s="1345" t="s">
        <v>80</v>
      </c>
      <c r="B107" s="1346"/>
      <c r="C107" s="1347"/>
      <c r="D107" s="438" t="s">
        <v>81</v>
      </c>
      <c r="E107" s="438" t="s">
        <v>82</v>
      </c>
      <c r="F107" s="438" t="s">
        <v>83</v>
      </c>
      <c r="G107" s="439" t="s">
        <v>84</v>
      </c>
      <c r="H107" s="457"/>
      <c r="I107" s="436"/>
      <c r="K107" s="447"/>
      <c r="L107" s="447"/>
      <c r="M107" s="447"/>
      <c r="N107" s="447"/>
    </row>
    <row r="108" spans="1:14">
      <c r="A108" s="1357" t="s">
        <v>85</v>
      </c>
      <c r="B108" s="1358"/>
      <c r="C108" s="1359"/>
      <c r="D108" s="459"/>
      <c r="E108" s="440"/>
      <c r="F108" s="440"/>
      <c r="G108" s="432">
        <f>ROUND(H133*0.05,0)</f>
        <v>5067</v>
      </c>
      <c r="H108" s="460"/>
      <c r="I108" s="436"/>
      <c r="K108" s="447"/>
      <c r="L108" s="447"/>
      <c r="M108" s="447"/>
      <c r="N108" s="447"/>
    </row>
    <row r="109" spans="1:14">
      <c r="A109" s="1357"/>
      <c r="B109" s="1358"/>
      <c r="C109" s="1359"/>
      <c r="D109" s="461"/>
      <c r="E109" s="462"/>
      <c r="F109" s="440"/>
      <c r="G109" s="432"/>
      <c r="H109" s="460"/>
      <c r="I109" s="436"/>
      <c r="K109" s="447"/>
      <c r="L109" s="447"/>
      <c r="M109" s="447"/>
      <c r="N109" s="447"/>
    </row>
    <row r="110" spans="1:14" ht="15.75" thickBot="1">
      <c r="A110" s="1342"/>
      <c r="B110" s="1343"/>
      <c r="C110" s="1344"/>
      <c r="D110" s="464"/>
      <c r="E110" s="433"/>
      <c r="F110" s="434"/>
      <c r="G110" s="441"/>
      <c r="H110" s="465"/>
      <c r="L110" s="503"/>
    </row>
    <row r="111" spans="1:14" ht="15.75" thickBot="1">
      <c r="A111" s="436"/>
      <c r="B111" s="436"/>
      <c r="C111" s="436"/>
      <c r="D111" s="436"/>
      <c r="E111" s="436"/>
      <c r="F111" s="436"/>
      <c r="G111" s="437" t="s">
        <v>86</v>
      </c>
      <c r="H111" s="466">
        <f>SUM(G108:G110)</f>
        <v>5067</v>
      </c>
      <c r="L111" s="552"/>
    </row>
    <row r="112" spans="1:14" ht="15.75" thickBot="1">
      <c r="A112" s="450" t="s">
        <v>87</v>
      </c>
      <c r="B112" s="450"/>
      <c r="C112" s="436"/>
      <c r="D112" s="436"/>
      <c r="E112" s="436"/>
      <c r="F112" s="436"/>
      <c r="G112" s="436"/>
      <c r="H112" s="436"/>
      <c r="L112" s="552"/>
    </row>
    <row r="113" spans="1:12">
      <c r="A113" s="1345" t="s">
        <v>80</v>
      </c>
      <c r="B113" s="1346"/>
      <c r="C113" s="1347"/>
      <c r="D113" s="438" t="s">
        <v>88</v>
      </c>
      <c r="E113" s="438" t="s">
        <v>89</v>
      </c>
      <c r="F113" s="438" t="s">
        <v>90</v>
      </c>
      <c r="G113" s="439" t="s">
        <v>84</v>
      </c>
      <c r="H113" s="457"/>
      <c r="L113" s="545"/>
    </row>
    <row r="114" spans="1:12">
      <c r="A114" s="458" t="s">
        <v>603</v>
      </c>
      <c r="B114" s="467"/>
      <c r="C114" s="468"/>
      <c r="D114" s="459" t="s">
        <v>268</v>
      </c>
      <c r="E114" s="430">
        <f>1.15*1200000</f>
        <v>1380000</v>
      </c>
      <c r="F114" s="440">
        <v>1</v>
      </c>
      <c r="G114" s="432">
        <f>E114*F114</f>
        <v>1380000</v>
      </c>
      <c r="H114" s="460"/>
    </row>
    <row r="115" spans="1:12">
      <c r="A115" s="469"/>
      <c r="B115" s="467"/>
      <c r="C115" s="468"/>
      <c r="D115" s="459"/>
      <c r="E115" s="430"/>
      <c r="F115" s="431"/>
      <c r="G115" s="432"/>
      <c r="H115" s="460"/>
    </row>
    <row r="116" spans="1:12">
      <c r="A116" s="469" t="s">
        <v>93</v>
      </c>
      <c r="B116" s="467"/>
      <c r="C116" s="471">
        <v>0.05</v>
      </c>
      <c r="D116" s="459"/>
      <c r="E116" s="430"/>
      <c r="F116" s="431"/>
      <c r="G116" s="432"/>
      <c r="H116" s="460"/>
    </row>
    <row r="117" spans="1:12">
      <c r="A117" s="469"/>
      <c r="B117" s="467"/>
      <c r="C117" s="468"/>
      <c r="D117" s="459"/>
      <c r="E117" s="430"/>
      <c r="F117" s="431"/>
      <c r="G117" s="432"/>
      <c r="H117" s="460"/>
    </row>
    <row r="118" spans="1:12">
      <c r="A118" s="469"/>
      <c r="B118" s="467"/>
      <c r="C118" s="468"/>
      <c r="D118" s="459"/>
      <c r="E118" s="430"/>
      <c r="F118" s="431"/>
      <c r="G118" s="432"/>
      <c r="H118" s="460"/>
    </row>
    <row r="119" spans="1:12" ht="15.75" thickBot="1">
      <c r="A119" s="472"/>
      <c r="B119" s="473"/>
      <c r="C119" s="474"/>
      <c r="D119" s="464"/>
      <c r="E119" s="433"/>
      <c r="F119" s="434"/>
      <c r="G119" s="435"/>
      <c r="H119" s="465"/>
    </row>
    <row r="120" spans="1:12" ht="15.75" thickBot="1">
      <c r="A120" s="436"/>
      <c r="B120" s="436"/>
      <c r="C120" s="436"/>
      <c r="D120" s="436"/>
      <c r="E120" s="436"/>
      <c r="F120" s="436"/>
      <c r="G120" s="437" t="s">
        <v>86</v>
      </c>
      <c r="H120" s="466">
        <f>SUM(G114:G119)</f>
        <v>1380000</v>
      </c>
    </row>
    <row r="121" spans="1:12" ht="15.75" thickBot="1">
      <c r="A121" s="450" t="s">
        <v>94</v>
      </c>
      <c r="B121" s="450"/>
      <c r="C121" s="436"/>
      <c r="D121" s="436"/>
      <c r="E121" s="436"/>
      <c r="F121" s="436"/>
      <c r="G121" s="436"/>
      <c r="H121" s="436"/>
    </row>
    <row r="122" spans="1:12">
      <c r="A122" s="1345" t="s">
        <v>95</v>
      </c>
      <c r="B122" s="1346"/>
      <c r="C122" s="1347"/>
      <c r="D122" s="438" t="s">
        <v>88</v>
      </c>
      <c r="E122" s="438" t="s">
        <v>89</v>
      </c>
      <c r="F122" s="438" t="s">
        <v>90</v>
      </c>
      <c r="G122" s="439" t="s">
        <v>84</v>
      </c>
      <c r="H122" s="457"/>
    </row>
    <row r="123" spans="1:12">
      <c r="A123" s="458" t="s">
        <v>603</v>
      </c>
      <c r="B123" s="467"/>
      <c r="C123" s="468"/>
      <c r="D123" s="459" t="s">
        <v>268</v>
      </c>
      <c r="E123" s="430">
        <v>25000</v>
      </c>
      <c r="F123" s="440">
        <v>1</v>
      </c>
      <c r="G123" s="432">
        <f>E123*F123</f>
        <v>25000</v>
      </c>
      <c r="H123" s="460"/>
    </row>
    <row r="124" spans="1:12" ht="15.75" thickBot="1">
      <c r="A124" s="1342"/>
      <c r="B124" s="1343"/>
      <c r="C124" s="1344"/>
      <c r="D124" s="475"/>
      <c r="E124" s="433"/>
      <c r="F124" s="434"/>
      <c r="G124" s="441"/>
      <c r="H124" s="460"/>
    </row>
    <row r="125" spans="1:12" ht="15.75" thickBot="1">
      <c r="A125" s="436"/>
      <c r="B125" s="436"/>
      <c r="C125" s="436"/>
      <c r="D125" s="436"/>
      <c r="E125" s="436"/>
      <c r="F125" s="436"/>
      <c r="G125" s="437" t="s">
        <v>86</v>
      </c>
      <c r="H125" s="466">
        <f>SUM(G123:G124)</f>
        <v>25000</v>
      </c>
    </row>
    <row r="126" spans="1:12" ht="15.75" thickBot="1">
      <c r="A126" s="450" t="s">
        <v>96</v>
      </c>
      <c r="B126" s="450"/>
      <c r="C126" s="436"/>
      <c r="D126" s="436"/>
      <c r="E126" s="436"/>
      <c r="F126" s="436"/>
      <c r="G126" s="436"/>
      <c r="H126" s="436"/>
    </row>
    <row r="127" spans="1:12">
      <c r="A127" s="476" t="s">
        <v>97</v>
      </c>
      <c r="B127" s="438"/>
      <c r="C127" s="438" t="s">
        <v>98</v>
      </c>
      <c r="D127" s="438" t="s">
        <v>99</v>
      </c>
      <c r="E127" s="442" t="s">
        <v>100</v>
      </c>
      <c r="F127" s="443" t="s">
        <v>83</v>
      </c>
      <c r="G127" s="444" t="s">
        <v>84</v>
      </c>
      <c r="H127" s="477"/>
    </row>
    <row r="128" spans="1:12">
      <c r="A128" s="478" t="s">
        <v>101</v>
      </c>
      <c r="B128" s="467"/>
      <c r="C128" s="479">
        <f>PERSONAL!$E$32</f>
        <v>87200</v>
      </c>
      <c r="D128" s="480">
        <f>PERSONAL!$F$31</f>
        <v>1.7431000000000001</v>
      </c>
      <c r="E128" s="440">
        <f>+D128*C128</f>
        <v>151998.32</v>
      </c>
      <c r="F128" s="440">
        <v>1.5</v>
      </c>
      <c r="G128" s="445">
        <f>ROUND(E128/F128,0)</f>
        <v>101332</v>
      </c>
      <c r="H128" s="451"/>
    </row>
    <row r="129" spans="1:8">
      <c r="A129" s="478"/>
      <c r="B129" s="467"/>
      <c r="C129" s="479"/>
      <c r="D129" s="480"/>
      <c r="E129" s="440"/>
      <c r="F129" s="440"/>
      <c r="G129" s="445"/>
      <c r="H129" s="451"/>
    </row>
    <row r="130" spans="1:8">
      <c r="A130" s="478"/>
      <c r="B130" s="468"/>
      <c r="C130" s="430"/>
      <c r="D130" s="459"/>
      <c r="E130" s="430"/>
      <c r="F130" s="440"/>
      <c r="G130" s="445"/>
      <c r="H130" s="451"/>
    </row>
    <row r="131" spans="1:8">
      <c r="A131" s="478"/>
      <c r="B131" s="468"/>
      <c r="C131" s="430"/>
      <c r="D131" s="459"/>
      <c r="E131" s="430"/>
      <c r="F131" s="440"/>
      <c r="G131" s="445"/>
      <c r="H131" s="451"/>
    </row>
    <row r="132" spans="1:8" ht="15.75" thickBot="1">
      <c r="A132" s="481"/>
      <c r="B132" s="474"/>
      <c r="C132" s="474"/>
      <c r="D132" s="474"/>
      <c r="E132" s="474"/>
      <c r="F132" s="474"/>
      <c r="G132" s="482"/>
      <c r="H132" s="482"/>
    </row>
    <row r="133" spans="1:8" ht="15.75" thickBot="1">
      <c r="A133" s="436"/>
      <c r="B133" s="436"/>
      <c r="C133" s="436"/>
      <c r="D133" s="436"/>
      <c r="E133" s="436"/>
      <c r="F133" s="436"/>
      <c r="G133" s="437" t="s">
        <v>86</v>
      </c>
      <c r="H133" s="466">
        <f>SUM(G128:G132)</f>
        <v>101332</v>
      </c>
    </row>
    <row r="134" spans="1:8" ht="15.75" thickBot="1">
      <c r="A134" s="436"/>
      <c r="B134" s="436"/>
      <c r="C134" s="436"/>
      <c r="D134" s="436"/>
      <c r="E134" s="436"/>
      <c r="F134" s="436"/>
      <c r="G134" s="483"/>
      <c r="H134" s="436"/>
    </row>
    <row r="135" spans="1:8" ht="15.75" thickBot="1">
      <c r="A135" s="436"/>
      <c r="B135" s="436"/>
      <c r="C135" s="436"/>
      <c r="D135" s="436"/>
      <c r="E135" s="484" t="s">
        <v>102</v>
      </c>
      <c r="F135" s="485"/>
      <c r="G135" s="485"/>
      <c r="H135" s="466">
        <f>H111+H120+H125+H133</f>
        <v>1511399</v>
      </c>
    </row>
    <row r="136" spans="1:8" ht="15.75" thickBot="1">
      <c r="A136" s="450" t="s">
        <v>103</v>
      </c>
      <c r="B136" s="450"/>
      <c r="C136" s="436"/>
      <c r="D136" s="436"/>
      <c r="E136" s="436"/>
      <c r="F136" s="436"/>
      <c r="G136" s="436"/>
      <c r="H136" s="436"/>
    </row>
    <row r="137" spans="1:8">
      <c r="A137" s="487" t="s">
        <v>80</v>
      </c>
      <c r="B137" s="488"/>
      <c r="C137" s="488"/>
      <c r="D137" s="488"/>
      <c r="E137" s="489"/>
      <c r="F137" s="490" t="s">
        <v>104</v>
      </c>
      <c r="G137" s="491" t="s">
        <v>105</v>
      </c>
      <c r="H137" s="457"/>
    </row>
    <row r="138" spans="1:8">
      <c r="A138" s="469" t="s">
        <v>106</v>
      </c>
      <c r="B138" s="467"/>
      <c r="C138" s="467"/>
      <c r="D138" s="467"/>
      <c r="E138" s="468"/>
      <c r="F138" s="492">
        <f>PRESUPUESTO!$E$222</f>
        <v>0.109</v>
      </c>
      <c r="G138" s="493">
        <f>+F138*H135</f>
        <v>164742.49100000001</v>
      </c>
      <c r="H138" s="460"/>
    </row>
    <row r="139" spans="1:8">
      <c r="A139" s="469" t="s">
        <v>107</v>
      </c>
      <c r="B139" s="467"/>
      <c r="C139" s="467"/>
      <c r="D139" s="467"/>
      <c r="E139" s="468"/>
      <c r="F139" s="492">
        <f>PRESUPUESTO!$E$223</f>
        <v>0.05</v>
      </c>
      <c r="G139" s="493">
        <f>+F139*H135</f>
        <v>75569.95</v>
      </c>
      <c r="H139" s="460"/>
    </row>
    <row r="140" spans="1:8" ht="15.75" thickBot="1">
      <c r="A140" s="472" t="s">
        <v>108</v>
      </c>
      <c r="B140" s="473"/>
      <c r="C140" s="473"/>
      <c r="D140" s="473"/>
      <c r="E140" s="474"/>
      <c r="F140" s="494">
        <v>0</v>
      </c>
      <c r="G140" s="495">
        <f>+F140*H135</f>
        <v>0</v>
      </c>
      <c r="H140" s="465"/>
    </row>
    <row r="141" spans="1:8" ht="15.75" thickBot="1">
      <c r="A141" s="436"/>
      <c r="B141" s="436"/>
      <c r="C141" s="436"/>
      <c r="D141" s="436"/>
      <c r="E141" s="436"/>
      <c r="F141" s="436"/>
      <c r="G141" s="437" t="s">
        <v>86</v>
      </c>
      <c r="H141" s="496">
        <f>SUM(G138:G140)</f>
        <v>240312.44099999999</v>
      </c>
    </row>
    <row r="142" spans="1:8" ht="15.75" thickBot="1">
      <c r="A142" s="436"/>
      <c r="B142" s="436"/>
      <c r="C142" s="436"/>
      <c r="D142" s="436"/>
      <c r="E142" s="436"/>
      <c r="F142" s="436"/>
      <c r="G142" s="436"/>
      <c r="H142" s="436"/>
    </row>
    <row r="143" spans="1:8" ht="15.75" thickBot="1">
      <c r="C143" s="436"/>
      <c r="D143" s="484" t="s">
        <v>109</v>
      </c>
      <c r="E143" s="485"/>
      <c r="F143" s="485"/>
      <c r="G143" s="485"/>
      <c r="H143" s="466">
        <f>ROUND((H135+H141),0)</f>
        <v>1751711</v>
      </c>
    </row>
    <row r="145" spans="1:8">
      <c r="A145" s="186" t="s">
        <v>77</v>
      </c>
    </row>
    <row r="146" spans="1:8" ht="15.75" thickBot="1"/>
    <row r="147" spans="1:8">
      <c r="A147" s="1348" t="s">
        <v>213</v>
      </c>
      <c r="B147" s="1349"/>
      <c r="C147" s="1350"/>
      <c r="D147" s="448"/>
      <c r="E147" s="448"/>
      <c r="F147" s="448"/>
      <c r="G147" s="448"/>
      <c r="H147" s="449"/>
    </row>
    <row r="148" spans="1:8">
      <c r="A148" s="1351"/>
      <c r="B148" s="1352"/>
      <c r="C148" s="1353"/>
      <c r="D148" s="436"/>
      <c r="E148" s="450" t="s">
        <v>78</v>
      </c>
      <c r="F148" s="436"/>
      <c r="G148" s="436"/>
      <c r="H148" s="451"/>
    </row>
    <row r="149" spans="1:8" ht="15.75" thickBot="1">
      <c r="A149" s="1354"/>
      <c r="B149" s="1355"/>
      <c r="C149" s="1356"/>
      <c r="D149" s="1360"/>
      <c r="E149" s="1361"/>
      <c r="F149" s="1361"/>
      <c r="G149" s="1361"/>
      <c r="H149" s="1362"/>
    </row>
    <row r="150" spans="1:8">
      <c r="A150" s="455"/>
      <c r="B150" s="436"/>
      <c r="C150" s="436"/>
      <c r="D150" s="436"/>
      <c r="E150" s="436"/>
      <c r="F150" s="436"/>
      <c r="G150" s="436"/>
      <c r="H150" s="436"/>
    </row>
    <row r="151" spans="1:8" s="446" customFormat="1" ht="12.75">
      <c r="A151" s="455" t="s">
        <v>1228</v>
      </c>
      <c r="B151" s="456" t="str">
        <f>+PRESUPUESTO!$B$211</f>
        <v>CARPINTERÍA METÁLICA</v>
      </c>
      <c r="C151" s="436"/>
      <c r="E151" s="456"/>
      <c r="G151" s="456" t="s">
        <v>1123</v>
      </c>
      <c r="H151" s="436" t="str">
        <f>+PRESUPUESTO!$A$218</f>
        <v>14.3.2</v>
      </c>
    </row>
    <row r="152" spans="1:8" s="931" customFormat="1" ht="55.9" customHeight="1">
      <c r="A152" s="928" t="s">
        <v>1122</v>
      </c>
      <c r="B152" s="1375" t="str">
        <f>VLOOKUP(H151,PRESUPUESTO!$A$18:$F$251,2,FALSE)</f>
        <v>Suministro e instalación de registro de respiración en lámina de acero perforada sobre ladrillo portante para locales comerciales.</v>
      </c>
      <c r="C152" s="1375"/>
      <c r="D152" s="1375"/>
      <c r="E152" s="1375"/>
      <c r="F152" s="1375"/>
      <c r="G152" s="929" t="s">
        <v>9</v>
      </c>
      <c r="H152" s="1024" t="str">
        <f>VLOOKUP(H151,PRESUPUESTO!$A$18:$F$251,3,FALSE)</f>
        <v>un</v>
      </c>
    </row>
    <row r="153" spans="1:8">
      <c r="A153" s="456"/>
      <c r="B153" s="456"/>
      <c r="C153" s="436"/>
      <c r="D153" s="456"/>
      <c r="E153" s="456"/>
      <c r="F153" s="456"/>
      <c r="G153" s="456"/>
      <c r="H153" s="436"/>
    </row>
    <row r="154" spans="1:8" ht="15.75" thickBot="1">
      <c r="A154" s="450" t="s">
        <v>79</v>
      </c>
      <c r="B154" s="450"/>
      <c r="C154" s="436"/>
      <c r="D154" s="436"/>
      <c r="E154" s="436"/>
      <c r="F154" s="436"/>
      <c r="G154" s="436"/>
      <c r="H154" s="436"/>
    </row>
    <row r="155" spans="1:8">
      <c r="A155" s="1345" t="s">
        <v>80</v>
      </c>
      <c r="B155" s="1346"/>
      <c r="C155" s="1347"/>
      <c r="D155" s="438" t="s">
        <v>81</v>
      </c>
      <c r="E155" s="438" t="s">
        <v>82</v>
      </c>
      <c r="F155" s="438" t="s">
        <v>83</v>
      </c>
      <c r="G155" s="439" t="s">
        <v>84</v>
      </c>
      <c r="H155" s="457"/>
    </row>
    <row r="156" spans="1:8">
      <c r="A156" s="1357" t="s">
        <v>85</v>
      </c>
      <c r="B156" s="1358"/>
      <c r="C156" s="1359"/>
      <c r="D156" s="459"/>
      <c r="E156" s="440"/>
      <c r="F156" s="440"/>
      <c r="G156" s="432">
        <f>ROUND(H181*0.05,0)</f>
        <v>2171</v>
      </c>
      <c r="H156" s="460"/>
    </row>
    <row r="157" spans="1:8">
      <c r="A157" s="1357"/>
      <c r="B157" s="1358"/>
      <c r="C157" s="1359"/>
      <c r="D157" s="461"/>
      <c r="E157" s="462"/>
      <c r="F157" s="440"/>
      <c r="G157" s="432"/>
      <c r="H157" s="460"/>
    </row>
    <row r="158" spans="1:8" ht="15.75" thickBot="1">
      <c r="A158" s="1342"/>
      <c r="B158" s="1343"/>
      <c r="C158" s="1344"/>
      <c r="D158" s="464"/>
      <c r="E158" s="433"/>
      <c r="F158" s="434"/>
      <c r="G158" s="441"/>
      <c r="H158" s="465"/>
    </row>
    <row r="159" spans="1:8" ht="15.75" thickBot="1">
      <c r="A159" s="436"/>
      <c r="B159" s="436"/>
      <c r="C159" s="436"/>
      <c r="D159" s="436"/>
      <c r="E159" s="436"/>
      <c r="F159" s="436"/>
      <c r="G159" s="437" t="s">
        <v>86</v>
      </c>
      <c r="H159" s="466">
        <f>SUM(G156:G158)</f>
        <v>2171</v>
      </c>
    </row>
    <row r="160" spans="1:8" ht="15.75" thickBot="1">
      <c r="A160" s="450" t="s">
        <v>87</v>
      </c>
      <c r="B160" s="450"/>
      <c r="C160" s="436"/>
      <c r="D160" s="436"/>
      <c r="E160" s="436"/>
      <c r="F160" s="436"/>
      <c r="G160" s="436"/>
      <c r="H160" s="436"/>
    </row>
    <row r="161" spans="1:8">
      <c r="A161" s="1345" t="s">
        <v>80</v>
      </c>
      <c r="B161" s="1346"/>
      <c r="C161" s="1347"/>
      <c r="D161" s="438" t="s">
        <v>88</v>
      </c>
      <c r="E161" s="438" t="s">
        <v>89</v>
      </c>
      <c r="F161" s="438" t="s">
        <v>90</v>
      </c>
      <c r="G161" s="439" t="s">
        <v>84</v>
      </c>
      <c r="H161" s="457"/>
    </row>
    <row r="162" spans="1:8">
      <c r="A162" s="458" t="s">
        <v>604</v>
      </c>
      <c r="B162" s="467"/>
      <c r="C162" s="468"/>
      <c r="D162" s="459" t="s">
        <v>268</v>
      </c>
      <c r="E162" s="430">
        <f>1.15*130000</f>
        <v>149500</v>
      </c>
      <c r="F162" s="440">
        <f>35/17</f>
        <v>2.0588235294117645</v>
      </c>
      <c r="G162" s="432">
        <f>E162*F162</f>
        <v>307794.1176470588</v>
      </c>
      <c r="H162" s="460"/>
    </row>
    <row r="163" spans="1:8">
      <c r="A163" s="469"/>
      <c r="B163" s="467"/>
      <c r="C163" s="468"/>
      <c r="D163" s="459"/>
      <c r="E163" s="430"/>
      <c r="F163" s="431"/>
      <c r="G163" s="432"/>
      <c r="H163" s="460"/>
    </row>
    <row r="164" spans="1:8">
      <c r="A164" s="469" t="s">
        <v>93</v>
      </c>
      <c r="B164" s="467"/>
      <c r="C164" s="471">
        <v>0.05</v>
      </c>
      <c r="D164" s="459"/>
      <c r="E164" s="430"/>
      <c r="F164" s="431"/>
      <c r="G164" s="432"/>
      <c r="H164" s="460"/>
    </row>
    <row r="165" spans="1:8">
      <c r="A165" s="469"/>
      <c r="B165" s="467"/>
      <c r="C165" s="468"/>
      <c r="D165" s="459"/>
      <c r="E165" s="430"/>
      <c r="F165" s="431"/>
      <c r="G165" s="432"/>
      <c r="H165" s="460"/>
    </row>
    <row r="166" spans="1:8">
      <c r="A166" s="469"/>
      <c r="B166" s="467"/>
      <c r="C166" s="468"/>
      <c r="D166" s="459"/>
      <c r="E166" s="430"/>
      <c r="F166" s="431"/>
      <c r="G166" s="432"/>
      <c r="H166" s="460"/>
    </row>
    <row r="167" spans="1:8" ht="15.75" thickBot="1">
      <c r="A167" s="472"/>
      <c r="B167" s="473"/>
      <c r="C167" s="474"/>
      <c r="D167" s="464"/>
      <c r="E167" s="433"/>
      <c r="F167" s="434"/>
      <c r="G167" s="435"/>
      <c r="H167" s="465"/>
    </row>
    <row r="168" spans="1:8" ht="15.75" thickBot="1">
      <c r="A168" s="436"/>
      <c r="B168" s="436"/>
      <c r="C168" s="436"/>
      <c r="D168" s="436"/>
      <c r="E168" s="436"/>
      <c r="F168" s="436"/>
      <c r="G168" s="437" t="s">
        <v>86</v>
      </c>
      <c r="H168" s="466">
        <f>SUM(G162:G167)</f>
        <v>307794.1176470588</v>
      </c>
    </row>
    <row r="169" spans="1:8" ht="15.75" thickBot="1">
      <c r="A169" s="450" t="s">
        <v>94</v>
      </c>
      <c r="B169" s="450"/>
      <c r="C169" s="436"/>
      <c r="D169" s="436"/>
      <c r="E169" s="436"/>
      <c r="F169" s="436"/>
      <c r="G169" s="436"/>
      <c r="H169" s="436"/>
    </row>
    <row r="170" spans="1:8">
      <c r="A170" s="1345" t="s">
        <v>95</v>
      </c>
      <c r="B170" s="1346"/>
      <c r="C170" s="1347"/>
      <c r="D170" s="438" t="s">
        <v>88</v>
      </c>
      <c r="E170" s="438" t="s">
        <v>89</v>
      </c>
      <c r="F170" s="438" t="s">
        <v>90</v>
      </c>
      <c r="G170" s="439" t="s">
        <v>84</v>
      </c>
      <c r="H170" s="457"/>
    </row>
    <row r="171" spans="1:8">
      <c r="A171" s="458" t="s">
        <v>604</v>
      </c>
      <c r="B171" s="467"/>
      <c r="C171" s="468"/>
      <c r="D171" s="459" t="s">
        <v>268</v>
      </c>
      <c r="E171" s="430">
        <v>8500</v>
      </c>
      <c r="F171" s="440">
        <v>1</v>
      </c>
      <c r="G171" s="432">
        <f>E171*F171</f>
        <v>8500</v>
      </c>
      <c r="H171" s="460"/>
    </row>
    <row r="172" spans="1:8" ht="15.75" thickBot="1">
      <c r="A172" s="1342"/>
      <c r="B172" s="1343"/>
      <c r="C172" s="1344"/>
      <c r="D172" s="475"/>
      <c r="E172" s="433"/>
      <c r="F172" s="434"/>
      <c r="G172" s="441"/>
      <c r="H172" s="460"/>
    </row>
    <row r="173" spans="1:8" ht="15.75" thickBot="1">
      <c r="A173" s="436"/>
      <c r="B173" s="436"/>
      <c r="C173" s="436"/>
      <c r="D173" s="436"/>
      <c r="E173" s="436"/>
      <c r="F173" s="436"/>
      <c r="G173" s="437" t="s">
        <v>86</v>
      </c>
      <c r="H173" s="466">
        <f>SUM(G171:G172)</f>
        <v>8500</v>
      </c>
    </row>
    <row r="174" spans="1:8" ht="15.75" thickBot="1">
      <c r="A174" s="450" t="s">
        <v>96</v>
      </c>
      <c r="B174" s="450"/>
      <c r="C174" s="436"/>
      <c r="D174" s="436"/>
      <c r="E174" s="436"/>
      <c r="F174" s="436"/>
      <c r="G174" s="436"/>
      <c r="H174" s="436"/>
    </row>
    <row r="175" spans="1:8">
      <c r="A175" s="476" t="s">
        <v>97</v>
      </c>
      <c r="B175" s="438"/>
      <c r="C175" s="438" t="s">
        <v>98</v>
      </c>
      <c r="D175" s="438" t="s">
        <v>99</v>
      </c>
      <c r="E175" s="442" t="s">
        <v>100</v>
      </c>
      <c r="F175" s="443" t="s">
        <v>83</v>
      </c>
      <c r="G175" s="444" t="s">
        <v>84</v>
      </c>
      <c r="H175" s="477"/>
    </row>
    <row r="176" spans="1:8">
      <c r="A176" s="478" t="s">
        <v>101</v>
      </c>
      <c r="B176" s="467"/>
      <c r="C176" s="479">
        <f>PERSONAL!$E$32</f>
        <v>87200</v>
      </c>
      <c r="D176" s="480">
        <f>PERSONAL!$F$31</f>
        <v>1.7431000000000001</v>
      </c>
      <c r="E176" s="440">
        <f>+D176*C176</f>
        <v>151998.32</v>
      </c>
      <c r="F176" s="440">
        <v>3.5</v>
      </c>
      <c r="G176" s="445">
        <f>ROUND(E176/F176,0)</f>
        <v>43428</v>
      </c>
      <c r="H176" s="451"/>
    </row>
    <row r="177" spans="1:8">
      <c r="A177" s="478"/>
      <c r="B177" s="467"/>
      <c r="C177" s="479"/>
      <c r="D177" s="480"/>
      <c r="E177" s="440"/>
      <c r="F177" s="440"/>
      <c r="G177" s="445"/>
      <c r="H177" s="451"/>
    </row>
    <row r="178" spans="1:8">
      <c r="A178" s="478"/>
      <c r="B178" s="468"/>
      <c r="C178" s="430"/>
      <c r="D178" s="459"/>
      <c r="E178" s="430"/>
      <c r="F178" s="440"/>
      <c r="G178" s="445"/>
      <c r="H178" s="451"/>
    </row>
    <row r="179" spans="1:8">
      <c r="A179" s="478"/>
      <c r="B179" s="468"/>
      <c r="C179" s="430"/>
      <c r="D179" s="459"/>
      <c r="E179" s="430"/>
      <c r="F179" s="440"/>
      <c r="G179" s="445"/>
      <c r="H179" s="451"/>
    </row>
    <row r="180" spans="1:8" ht="15.75" thickBot="1">
      <c r="A180" s="481"/>
      <c r="B180" s="474"/>
      <c r="C180" s="474"/>
      <c r="D180" s="474"/>
      <c r="E180" s="474"/>
      <c r="F180" s="474"/>
      <c r="G180" s="482"/>
      <c r="H180" s="482"/>
    </row>
    <row r="181" spans="1:8" ht="15.75" thickBot="1">
      <c r="A181" s="436"/>
      <c r="B181" s="436"/>
      <c r="C181" s="436"/>
      <c r="D181" s="436"/>
      <c r="E181" s="436"/>
      <c r="F181" s="436"/>
      <c r="G181" s="437" t="s">
        <v>86</v>
      </c>
      <c r="H181" s="466">
        <f>SUM(G176:G180)</f>
        <v>43428</v>
      </c>
    </row>
    <row r="182" spans="1:8" ht="15.75" thickBot="1">
      <c r="A182" s="436"/>
      <c r="B182" s="436"/>
      <c r="C182" s="436"/>
      <c r="D182" s="436"/>
      <c r="E182" s="436"/>
      <c r="F182" s="436"/>
      <c r="G182" s="483"/>
      <c r="H182" s="436"/>
    </row>
    <row r="183" spans="1:8" ht="15.75" thickBot="1">
      <c r="A183" s="436"/>
      <c r="B183" s="436"/>
      <c r="C183" s="436"/>
      <c r="D183" s="436"/>
      <c r="E183" s="484" t="s">
        <v>102</v>
      </c>
      <c r="F183" s="485"/>
      <c r="G183" s="485"/>
      <c r="H183" s="466">
        <f>H159+H168+H173+H181</f>
        <v>361893.1176470588</v>
      </c>
    </row>
    <row r="184" spans="1:8" ht="15.75" thickBot="1">
      <c r="A184" s="450" t="s">
        <v>103</v>
      </c>
      <c r="B184" s="450"/>
      <c r="C184" s="436"/>
      <c r="D184" s="436"/>
      <c r="E184" s="436"/>
      <c r="F184" s="436"/>
      <c r="G184" s="436"/>
      <c r="H184" s="436"/>
    </row>
    <row r="185" spans="1:8">
      <c r="A185" s="487" t="s">
        <v>80</v>
      </c>
      <c r="B185" s="488"/>
      <c r="C185" s="488"/>
      <c r="D185" s="488"/>
      <c r="E185" s="489"/>
      <c r="F185" s="490" t="s">
        <v>104</v>
      </c>
      <c r="G185" s="491" t="s">
        <v>105</v>
      </c>
      <c r="H185" s="457"/>
    </row>
    <row r="186" spans="1:8">
      <c r="A186" s="469" t="s">
        <v>106</v>
      </c>
      <c r="B186" s="467"/>
      <c r="C186" s="467"/>
      <c r="D186" s="467"/>
      <c r="E186" s="468"/>
      <c r="F186" s="492">
        <f>PRESUPUESTO!$E$222</f>
        <v>0.109</v>
      </c>
      <c r="G186" s="493">
        <f>+F186*H183</f>
        <v>39446.34982352941</v>
      </c>
      <c r="H186" s="460"/>
    </row>
    <row r="187" spans="1:8">
      <c r="A187" s="469" t="s">
        <v>107</v>
      </c>
      <c r="B187" s="467"/>
      <c r="C187" s="467"/>
      <c r="D187" s="467"/>
      <c r="E187" s="468"/>
      <c r="F187" s="492">
        <f>PRESUPUESTO!$E$223</f>
        <v>0.05</v>
      </c>
      <c r="G187" s="493">
        <f>+F187*H183</f>
        <v>18094.655882352941</v>
      </c>
      <c r="H187" s="460"/>
    </row>
    <row r="188" spans="1:8" ht="15.75" thickBot="1">
      <c r="A188" s="472" t="s">
        <v>108</v>
      </c>
      <c r="B188" s="473"/>
      <c r="C188" s="473"/>
      <c r="D188" s="473"/>
      <c r="E188" s="474"/>
      <c r="F188" s="494">
        <v>0</v>
      </c>
      <c r="G188" s="495">
        <f>+F188*H183</f>
        <v>0</v>
      </c>
      <c r="H188" s="465"/>
    </row>
    <row r="189" spans="1:8" ht="15.75" thickBot="1">
      <c r="A189" s="436"/>
      <c r="B189" s="436"/>
      <c r="C189" s="436"/>
      <c r="D189" s="436"/>
      <c r="E189" s="436"/>
      <c r="F189" s="436"/>
      <c r="G189" s="437" t="s">
        <v>86</v>
      </c>
      <c r="H189" s="496">
        <f>SUM(G186:G188)</f>
        <v>57541.005705882351</v>
      </c>
    </row>
    <row r="190" spans="1:8" ht="15.75" thickBot="1">
      <c r="A190" s="436"/>
      <c r="B190" s="436"/>
      <c r="C190" s="436"/>
      <c r="D190" s="436"/>
      <c r="E190" s="436"/>
      <c r="F190" s="436"/>
      <c r="G190" s="436"/>
      <c r="H190" s="436"/>
    </row>
    <row r="191" spans="1:8" ht="15.75" thickBot="1">
      <c r="C191" s="436"/>
      <c r="D191" s="484" t="s">
        <v>109</v>
      </c>
      <c r="E191" s="485"/>
      <c r="F191" s="485"/>
      <c r="G191" s="485"/>
      <c r="H191" s="466">
        <f>ROUND((H183+H189),0)</f>
        <v>419434</v>
      </c>
    </row>
  </sheetData>
  <mergeCells count="40">
    <mergeCell ref="A172:C172"/>
    <mergeCell ref="A113:C113"/>
    <mergeCell ref="A122:C122"/>
    <mergeCell ref="A124:C124"/>
    <mergeCell ref="A147:C149"/>
    <mergeCell ref="A156:C156"/>
    <mergeCell ref="A157:C157"/>
    <mergeCell ref="A158:C158"/>
    <mergeCell ref="A161:C161"/>
    <mergeCell ref="A170:C170"/>
    <mergeCell ref="D149:H149"/>
    <mergeCell ref="A155:C155"/>
    <mergeCell ref="A99:C101"/>
    <mergeCell ref="D101:H101"/>
    <mergeCell ref="A107:C107"/>
    <mergeCell ref="A108:C108"/>
    <mergeCell ref="A109:C109"/>
    <mergeCell ref="A110:C110"/>
    <mergeCell ref="B104:F104"/>
    <mergeCell ref="B152:F152"/>
    <mergeCell ref="A76:C76"/>
    <mergeCell ref="A17:C17"/>
    <mergeCell ref="A26:C26"/>
    <mergeCell ref="A28:C28"/>
    <mergeCell ref="A51:C53"/>
    <mergeCell ref="A60:C60"/>
    <mergeCell ref="A61:C61"/>
    <mergeCell ref="A62:C62"/>
    <mergeCell ref="A65:C65"/>
    <mergeCell ref="A74:C74"/>
    <mergeCell ref="D53:H53"/>
    <mergeCell ref="A59:C59"/>
    <mergeCell ref="A3:C5"/>
    <mergeCell ref="D5:H5"/>
    <mergeCell ref="A11:C11"/>
    <mergeCell ref="A12:C12"/>
    <mergeCell ref="A13:C13"/>
    <mergeCell ref="A14:C14"/>
    <mergeCell ref="B8:F8"/>
    <mergeCell ref="B56:F56"/>
  </mergeCells>
  <hyperlinks>
    <hyperlink ref="A1" r:id="rId1" location="PRESUPUESTO!A1" xr:uid="{4925C894-D495-4029-BAF3-A6EAEC9357B3}"/>
    <hyperlink ref="A49" r:id="rId2" location="PRESUPUESTO!A1" xr:uid="{33F6DAB9-3A21-4E6E-A793-C43F29B37EA2}"/>
    <hyperlink ref="A97" r:id="rId3" location="PRESUPUESTO!A1" xr:uid="{FDD25290-F690-4E0E-B3E8-8FF8E9863644}"/>
    <hyperlink ref="A145" r:id="rId4" location="PRESUPUESTO!A1" xr:uid="{C65C3270-C7B9-4583-9F2C-D37DD8802387}"/>
  </hyperlinks>
  <pageMargins left="0.7" right="0.7" top="0.75" bottom="0.75" header="0.3" footer="0.3"/>
  <pageSetup scale="89" orientation="portrait" r:id="rId5"/>
  <rowBreaks count="3" manualBreakCount="3">
    <brk id="48" max="16383" man="1"/>
    <brk id="95" max="16383" man="1"/>
    <brk id="144"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1986C-5BF1-4F4F-AAF7-DF940343C4BD}">
  <sheetPr>
    <tabColor rgb="FF7030A0"/>
    <outlinePr summaryBelow="0" summaryRight="0"/>
  </sheetPr>
  <dimension ref="A1:P208"/>
  <sheetViews>
    <sheetView topLeftCell="A191" zoomScale="130" zoomScaleNormal="130" workbookViewId="0">
      <selection activeCell="F218" sqref="F218"/>
    </sheetView>
  </sheetViews>
  <sheetFormatPr baseColWidth="10" defaultColWidth="8.85546875" defaultRowHeight="11.25" outlineLevelRow="1"/>
  <cols>
    <col min="1" max="1" width="1.28515625" style="823" customWidth="1"/>
    <col min="2" max="2" width="12.7109375" style="819" customWidth="1"/>
    <col min="3" max="3" width="12.5703125" style="819" customWidth="1"/>
    <col min="4" max="4" width="15.42578125" style="819" customWidth="1"/>
    <col min="5" max="5" width="45.42578125" style="820" customWidth="1"/>
    <col min="6" max="6" width="9.140625" style="821" customWidth="1"/>
    <col min="7" max="7" width="9.140625" style="819" bestFit="1" customWidth="1"/>
    <col min="8" max="8" width="13.140625" style="822" customWidth="1"/>
    <col min="9" max="9" width="16.140625" style="822" customWidth="1"/>
    <col min="10" max="10" width="1.28515625" style="823" customWidth="1"/>
    <col min="11" max="11" width="15" style="823" customWidth="1"/>
    <col min="12" max="12" width="3" style="824" customWidth="1"/>
    <col min="13" max="13" width="15" style="823" customWidth="1"/>
    <col min="14" max="14" width="13.7109375" style="823" bestFit="1" customWidth="1"/>
    <col min="15" max="16384" width="8.85546875" style="823"/>
  </cols>
  <sheetData>
    <row r="1" spans="1:12" ht="6.6" customHeight="1" thickBot="1"/>
    <row r="2" spans="1:12" s="4" customFormat="1" ht="14.45" customHeight="1">
      <c r="A2" s="823"/>
      <c r="B2" s="1506"/>
      <c r="C2" s="1507"/>
      <c r="D2" s="1507"/>
      <c r="E2" s="1507"/>
      <c r="F2" s="1507"/>
      <c r="G2" s="1507"/>
      <c r="H2" s="1507"/>
      <c r="I2" s="1508"/>
    </row>
    <row r="3" spans="1:12" s="4" customFormat="1" ht="14.45" customHeight="1">
      <c r="A3" s="823"/>
      <c r="B3" s="1509"/>
      <c r="C3" s="1510"/>
      <c r="D3" s="1510"/>
      <c r="E3" s="1510"/>
      <c r="F3" s="1510"/>
      <c r="G3" s="1510"/>
      <c r="H3" s="1510"/>
      <c r="I3" s="1511"/>
    </row>
    <row r="4" spans="1:12" s="4" customFormat="1" ht="14.45" customHeight="1">
      <c r="A4" s="823"/>
      <c r="B4" s="1509"/>
      <c r="C4" s="1510"/>
      <c r="D4" s="1510"/>
      <c r="E4" s="1510"/>
      <c r="F4" s="1510"/>
      <c r="G4" s="1510"/>
      <c r="H4" s="1510"/>
      <c r="I4" s="1511"/>
    </row>
    <row r="5" spans="1:12" s="4" customFormat="1" ht="14.45" customHeight="1">
      <c r="A5" s="823"/>
      <c r="B5" s="1509"/>
      <c r="C5" s="1510"/>
      <c r="D5" s="1510"/>
      <c r="E5" s="1510"/>
      <c r="F5" s="1510"/>
      <c r="G5" s="1510"/>
      <c r="H5" s="1510"/>
      <c r="I5" s="1511"/>
    </row>
    <row r="6" spans="1:12" s="4" customFormat="1" ht="14.45" customHeight="1">
      <c r="A6" s="823"/>
      <c r="B6" s="1509"/>
      <c r="C6" s="1510"/>
      <c r="D6" s="1510"/>
      <c r="E6" s="1510"/>
      <c r="F6" s="1510"/>
      <c r="G6" s="1510"/>
      <c r="H6" s="1510"/>
      <c r="I6" s="1511"/>
    </row>
    <row r="7" spans="1:12" s="4" customFormat="1" ht="14.25" customHeight="1" thickBot="1">
      <c r="A7" s="823"/>
      <c r="B7" s="1512"/>
      <c r="C7" s="1513"/>
      <c r="D7" s="1513"/>
      <c r="E7" s="1513"/>
      <c r="F7" s="1513"/>
      <c r="G7" s="1513"/>
      <c r="H7" s="1513"/>
      <c r="I7" s="1514"/>
    </row>
    <row r="8" spans="1:12" ht="12" thickBot="1">
      <c r="B8" s="825"/>
      <c r="C8" s="825"/>
    </row>
    <row r="9" spans="1:12" ht="27" customHeight="1" thickBot="1">
      <c r="B9" s="826" t="s">
        <v>706</v>
      </c>
      <c r="C9" s="1515" t="str">
        <f>+PRESUPUESTO!C8</f>
        <v>RENOVACIÓN DEL PARQUE PRINCIPAL DEL MUNICIPIO DE COPACABANA - ANTIOQUIA</v>
      </c>
      <c r="D9" s="1515"/>
      <c r="E9" s="1515"/>
      <c r="F9" s="1515"/>
      <c r="G9" s="1515"/>
      <c r="H9" s="1515"/>
      <c r="I9" s="1516"/>
    </row>
    <row r="10" spans="1:12" ht="12" thickBot="1">
      <c r="D10" s="820"/>
      <c r="E10" s="821"/>
      <c r="F10" s="819"/>
      <c r="G10" s="822"/>
      <c r="I10" s="823"/>
      <c r="K10" s="824"/>
      <c r="L10" s="823"/>
    </row>
    <row r="11" spans="1:12" ht="15.6" customHeight="1">
      <c r="B11" s="1517" t="s">
        <v>821</v>
      </c>
      <c r="C11" s="1518"/>
      <c r="D11" s="827">
        <f>D17*D12*26*8</f>
        <v>239616</v>
      </c>
      <c r="E11" s="822"/>
      <c r="F11" s="819"/>
      <c r="G11" s="823"/>
      <c r="H11" s="824"/>
      <c r="I11" s="823"/>
      <c r="L11" s="823"/>
    </row>
    <row r="12" spans="1:12" ht="15.6" customHeight="1">
      <c r="B12" s="1489" t="s">
        <v>822</v>
      </c>
      <c r="C12" s="1490"/>
      <c r="D12" s="828">
        <v>8</v>
      </c>
      <c r="E12" s="822"/>
      <c r="F12" s="819"/>
      <c r="G12" s="823"/>
      <c r="H12" s="824"/>
      <c r="I12" s="823"/>
      <c r="L12" s="823"/>
    </row>
    <row r="13" spans="1:12" ht="15.6" customHeight="1">
      <c r="B13" s="1489" t="s">
        <v>823</v>
      </c>
      <c r="C13" s="1490"/>
      <c r="D13" s="829">
        <v>0</v>
      </c>
      <c r="E13" s="822"/>
      <c r="F13" s="819"/>
      <c r="G13" s="823"/>
      <c r="H13" s="824"/>
      <c r="I13" s="823"/>
      <c r="L13" s="823"/>
    </row>
    <row r="14" spans="1:12" ht="15.6" customHeight="1">
      <c r="B14" s="1489" t="s">
        <v>824</v>
      </c>
      <c r="C14" s="1490"/>
      <c r="D14" s="830">
        <v>120</v>
      </c>
      <c r="E14" s="822"/>
      <c r="F14" s="819"/>
      <c r="G14" s="823"/>
      <c r="H14" s="824"/>
      <c r="I14" s="823"/>
      <c r="L14" s="823"/>
    </row>
    <row r="15" spans="1:12" ht="15.6" customHeight="1">
      <c r="B15" s="1489" t="s">
        <v>825</v>
      </c>
      <c r="C15" s="1498"/>
      <c r="D15" s="831" t="s">
        <v>826</v>
      </c>
      <c r="E15" s="822"/>
      <c r="F15" s="819"/>
      <c r="G15" s="823"/>
      <c r="H15" s="824"/>
      <c r="I15" s="823"/>
      <c r="L15" s="823"/>
    </row>
    <row r="16" spans="1:12" ht="14.45" customHeight="1" thickBot="1">
      <c r="B16" s="1489" t="s">
        <v>827</v>
      </c>
      <c r="C16" s="1498"/>
      <c r="D16" s="832">
        <v>1</v>
      </c>
      <c r="E16" s="822"/>
      <c r="F16" s="819"/>
      <c r="G16" s="823"/>
      <c r="H16" s="824"/>
      <c r="I16" s="823"/>
      <c r="L16" s="823"/>
    </row>
    <row r="17" spans="2:12" ht="23.45" customHeight="1" thickBot="1">
      <c r="B17" s="833" t="s">
        <v>828</v>
      </c>
      <c r="C17" s="834">
        <v>0.2</v>
      </c>
      <c r="D17" s="835">
        <f>D14*(1+$C$17)</f>
        <v>144</v>
      </c>
      <c r="E17" s="822"/>
      <c r="F17" s="819"/>
      <c r="G17" s="823"/>
      <c r="H17" s="824"/>
      <c r="I17" s="823"/>
      <c r="L17" s="823"/>
    </row>
    <row r="18" spans="2:12" ht="22.15" customHeight="1" thickBot="1">
      <c r="B18" s="836" t="s">
        <v>829</v>
      </c>
      <c r="C18" s="834">
        <v>0.14000000000000001</v>
      </c>
      <c r="D18" s="837">
        <f>ROUND(+D17*C18,0)</f>
        <v>20</v>
      </c>
      <c r="E18" s="822"/>
      <c r="F18" s="819"/>
      <c r="G18" s="823"/>
      <c r="H18" s="824"/>
      <c r="I18" s="823"/>
      <c r="L18" s="823"/>
    </row>
    <row r="19" spans="2:12" ht="12" thickBot="1">
      <c r="B19" s="825"/>
      <c r="C19" s="825"/>
      <c r="D19" s="838"/>
    </row>
    <row r="20" spans="2:12" s="839" customFormat="1" ht="18" customHeight="1" thickBot="1">
      <c r="B20" s="1499" t="s">
        <v>830</v>
      </c>
      <c r="C20" s="1500"/>
      <c r="D20" s="1501"/>
      <c r="E20" s="1501"/>
      <c r="F20" s="1501"/>
      <c r="G20" s="1501"/>
      <c r="H20" s="1501"/>
      <c r="I20" s="1502"/>
      <c r="L20" s="824"/>
    </row>
    <row r="21" spans="2:12" s="839" customFormat="1" ht="31.9" customHeight="1" collapsed="1" thickBot="1">
      <c r="B21" s="1503" t="s">
        <v>830</v>
      </c>
      <c r="C21" s="840" t="s">
        <v>831</v>
      </c>
      <c r="D21" s="841" t="s">
        <v>832</v>
      </c>
      <c r="E21" s="841" t="s">
        <v>833</v>
      </c>
      <c r="F21" s="842" t="s">
        <v>10</v>
      </c>
      <c r="G21" s="841" t="s">
        <v>9</v>
      </c>
      <c r="H21" s="843" t="s">
        <v>834</v>
      </c>
      <c r="I21" s="844" t="s">
        <v>105</v>
      </c>
      <c r="L21" s="824"/>
    </row>
    <row r="22" spans="2:12" ht="38.25" hidden="1" customHeight="1" outlineLevel="1">
      <c r="B22" s="1504"/>
      <c r="C22" s="1460" t="s">
        <v>835</v>
      </c>
      <c r="D22" s="1463" t="s">
        <v>836</v>
      </c>
      <c r="E22" s="845" t="s">
        <v>837</v>
      </c>
      <c r="F22" s="912">
        <v>3</v>
      </c>
      <c r="G22" s="847" t="s">
        <v>838</v>
      </c>
      <c r="H22" s="889">
        <f>8000*80+1500000</f>
        <v>2140000</v>
      </c>
      <c r="I22" s="848">
        <f>ROUND(F22*H22,0)</f>
        <v>6420000</v>
      </c>
    </row>
    <row r="23" spans="2:12" ht="33.6" hidden="1" customHeight="1" outlineLevel="1">
      <c r="B23" s="1504"/>
      <c r="C23" s="1461"/>
      <c r="D23" s="1464"/>
      <c r="E23" s="849" t="s">
        <v>839</v>
      </c>
      <c r="F23" s="874">
        <f>+PLAZO</f>
        <v>8</v>
      </c>
      <c r="G23" s="850" t="s">
        <v>971</v>
      </c>
      <c r="H23" s="889">
        <f>8000*40+1500000*(40/100)</f>
        <v>920000</v>
      </c>
      <c r="I23" s="851">
        <f t="shared" ref="I23:I34" si="0">ROUND(F23*H23,0)</f>
        <v>7360000</v>
      </c>
    </row>
    <row r="24" spans="2:12" ht="18" hidden="1" customHeight="1" outlineLevel="1">
      <c r="B24" s="1504"/>
      <c r="C24" s="1462"/>
      <c r="D24" s="1465"/>
      <c r="E24" s="849" t="s">
        <v>840</v>
      </c>
      <c r="F24" s="852"/>
      <c r="G24" s="850" t="s">
        <v>838</v>
      </c>
      <c r="H24" s="890">
        <v>2500000</v>
      </c>
      <c r="I24" s="853">
        <f t="shared" si="0"/>
        <v>0</v>
      </c>
    </row>
    <row r="25" spans="2:12" ht="19.5" hidden="1" customHeight="1" outlineLevel="1">
      <c r="B25" s="1504"/>
      <c r="C25" s="1467" t="s">
        <v>841</v>
      </c>
      <c r="D25" s="1469" t="s">
        <v>842</v>
      </c>
      <c r="E25" s="849" t="s">
        <v>843</v>
      </c>
      <c r="F25" s="874">
        <v>30</v>
      </c>
      <c r="G25" s="850" t="s">
        <v>838</v>
      </c>
      <c r="H25" s="890">
        <v>35000</v>
      </c>
      <c r="I25" s="853">
        <f t="shared" si="0"/>
        <v>1050000</v>
      </c>
    </row>
    <row r="26" spans="2:12" ht="33" hidden="1" customHeight="1" outlineLevel="1">
      <c r="B26" s="1504"/>
      <c r="C26" s="1461"/>
      <c r="D26" s="1464"/>
      <c r="E26" s="849" t="s">
        <v>844</v>
      </c>
      <c r="F26" s="913">
        <v>3000</v>
      </c>
      <c r="G26" s="850" t="s">
        <v>838</v>
      </c>
      <c r="H26" s="890">
        <v>750</v>
      </c>
      <c r="I26" s="853">
        <f t="shared" si="0"/>
        <v>2250000</v>
      </c>
    </row>
    <row r="27" spans="2:12" ht="18" hidden="1" customHeight="1" outlineLevel="1">
      <c r="B27" s="1504"/>
      <c r="C27" s="1461"/>
      <c r="D27" s="1464"/>
      <c r="E27" s="856" t="s">
        <v>845</v>
      </c>
      <c r="F27" s="874">
        <v>1</v>
      </c>
      <c r="G27" s="850" t="s">
        <v>838</v>
      </c>
      <c r="H27" s="890">
        <v>65000</v>
      </c>
      <c r="I27" s="853">
        <f t="shared" si="0"/>
        <v>65000</v>
      </c>
    </row>
    <row r="28" spans="2:12" ht="23.25" hidden="1" customHeight="1" outlineLevel="1">
      <c r="B28" s="1504"/>
      <c r="C28" s="1461"/>
      <c r="D28" s="1464"/>
      <c r="E28" s="856" t="s">
        <v>846</v>
      </c>
      <c r="F28" s="874">
        <v>2</v>
      </c>
      <c r="G28" s="850" t="s">
        <v>838</v>
      </c>
      <c r="H28" s="890">
        <v>120000</v>
      </c>
      <c r="I28" s="853">
        <f t="shared" si="0"/>
        <v>240000</v>
      </c>
    </row>
    <row r="29" spans="2:12" ht="25.15" hidden="1" customHeight="1" outlineLevel="1">
      <c r="B29" s="1504"/>
      <c r="C29" s="1461"/>
      <c r="D29" s="1464"/>
      <c r="E29" s="856" t="s">
        <v>847</v>
      </c>
      <c r="F29" s="874">
        <v>1</v>
      </c>
      <c r="G29" s="850" t="s">
        <v>762</v>
      </c>
      <c r="H29" s="890">
        <v>500000</v>
      </c>
      <c r="I29" s="853">
        <f t="shared" si="0"/>
        <v>500000</v>
      </c>
    </row>
    <row r="30" spans="2:12" ht="16.899999999999999" hidden="1" customHeight="1" outlineLevel="1">
      <c r="B30" s="1504"/>
      <c r="C30" s="1461"/>
      <c r="D30" s="1464"/>
      <c r="E30" s="856" t="s">
        <v>848</v>
      </c>
      <c r="F30" s="874">
        <v>6</v>
      </c>
      <c r="G30" s="850" t="s">
        <v>838</v>
      </c>
      <c r="H30" s="890">
        <v>110000</v>
      </c>
      <c r="I30" s="853">
        <f t="shared" si="0"/>
        <v>660000</v>
      </c>
    </row>
    <row r="31" spans="2:12" ht="25.15" hidden="1" customHeight="1" outlineLevel="1">
      <c r="B31" s="1504"/>
      <c r="C31" s="1462"/>
      <c r="D31" s="1465"/>
      <c r="E31" s="857" t="s">
        <v>849</v>
      </c>
      <c r="F31" s="852">
        <v>0</v>
      </c>
      <c r="G31" s="850" t="s">
        <v>838</v>
      </c>
      <c r="H31" s="853">
        <v>5120000</v>
      </c>
      <c r="I31" s="853">
        <f t="shared" si="0"/>
        <v>0</v>
      </c>
    </row>
    <row r="32" spans="2:12" ht="36.6" hidden="1" customHeight="1" outlineLevel="1">
      <c r="B32" s="1504"/>
      <c r="C32" s="858" t="s">
        <v>850</v>
      </c>
      <c r="D32" s="850" t="s">
        <v>851</v>
      </c>
      <c r="E32" s="849" t="s">
        <v>852</v>
      </c>
      <c r="F32" s="913">
        <v>250</v>
      </c>
      <c r="G32" s="850" t="s">
        <v>838</v>
      </c>
      <c r="H32" s="890">
        <v>80000</v>
      </c>
      <c r="I32" s="851">
        <f t="shared" si="0"/>
        <v>20000000</v>
      </c>
    </row>
    <row r="33" spans="2:13" ht="48.6" hidden="1" customHeight="1" outlineLevel="1">
      <c r="B33" s="1504"/>
      <c r="C33" s="858" t="s">
        <v>853</v>
      </c>
      <c r="D33" s="850" t="s">
        <v>691</v>
      </c>
      <c r="E33" s="849" t="s">
        <v>1055</v>
      </c>
      <c r="F33" s="852">
        <v>0</v>
      </c>
      <c r="G33" s="850" t="s">
        <v>838</v>
      </c>
      <c r="H33" s="890">
        <f>13000000</f>
        <v>13000000</v>
      </c>
      <c r="I33" s="851">
        <f t="shared" si="0"/>
        <v>0</v>
      </c>
    </row>
    <row r="34" spans="2:13" ht="65.45" hidden="1" customHeight="1" outlineLevel="1" thickBot="1">
      <c r="B34" s="1505"/>
      <c r="C34" s="854" t="s">
        <v>854</v>
      </c>
      <c r="D34" s="855" t="s">
        <v>691</v>
      </c>
      <c r="E34" s="859" t="s">
        <v>1054</v>
      </c>
      <c r="F34" s="852">
        <v>0</v>
      </c>
      <c r="G34" s="850" t="s">
        <v>838</v>
      </c>
      <c r="H34" s="914">
        <f>+H33+1500000</f>
        <v>14500000</v>
      </c>
      <c r="I34" s="860">
        <f t="shared" si="0"/>
        <v>0</v>
      </c>
    </row>
    <row r="35" spans="2:13" ht="15.6" customHeight="1" thickBot="1">
      <c r="B35" s="1491" t="s">
        <v>855</v>
      </c>
      <c r="C35" s="1492"/>
      <c r="D35" s="1493"/>
      <c r="E35" s="1493"/>
      <c r="F35" s="1493"/>
      <c r="G35" s="1493"/>
      <c r="H35" s="1493"/>
      <c r="I35" s="861">
        <f>SUM(I22:I34)</f>
        <v>38545000</v>
      </c>
      <c r="K35" s="927">
        <f>+I35/PRESUPUESTO!$F$221</f>
        <v>6.3390699624484024E-3</v>
      </c>
      <c r="L35" s="823"/>
    </row>
    <row r="36" spans="2:13" ht="12.6" customHeight="1" thickBot="1">
      <c r="B36" s="823"/>
      <c r="C36" s="823"/>
      <c r="D36" s="823"/>
      <c r="E36" s="823"/>
      <c r="F36" s="819"/>
      <c r="G36" s="823"/>
      <c r="H36" s="823"/>
      <c r="I36" s="823"/>
      <c r="L36" s="823"/>
    </row>
    <row r="37" spans="2:13" ht="18" customHeight="1" thickBot="1">
      <c r="B37" s="1494" t="s">
        <v>856</v>
      </c>
      <c r="C37" s="1495"/>
      <c r="D37" s="1496"/>
      <c r="E37" s="1496"/>
      <c r="F37" s="1496"/>
      <c r="G37" s="1496"/>
      <c r="H37" s="1496"/>
      <c r="I37" s="1497"/>
      <c r="K37" s="824"/>
    </row>
    <row r="38" spans="2:13" ht="31.9" customHeight="1" thickBot="1">
      <c r="B38" s="1487" t="s">
        <v>856</v>
      </c>
      <c r="C38" s="862" t="s">
        <v>857</v>
      </c>
      <c r="D38" s="863" t="s">
        <v>832</v>
      </c>
      <c r="E38" s="863" t="s">
        <v>833</v>
      </c>
      <c r="F38" s="864" t="s">
        <v>10</v>
      </c>
      <c r="G38" s="863" t="s">
        <v>9</v>
      </c>
      <c r="H38" s="865" t="s">
        <v>834</v>
      </c>
      <c r="I38" s="866" t="s">
        <v>105</v>
      </c>
    </row>
    <row r="39" spans="2:13" ht="33" customHeight="1" outlineLevel="1">
      <c r="B39" s="1488"/>
      <c r="C39" s="1462" t="s">
        <v>858</v>
      </c>
      <c r="D39" s="1465" t="s">
        <v>859</v>
      </c>
      <c r="E39" s="845" t="s">
        <v>860</v>
      </c>
      <c r="F39" s="870"/>
      <c r="G39" s="847" t="s">
        <v>838</v>
      </c>
      <c r="H39" s="867">
        <f>ROUND(540000/6,9)</f>
        <v>90000</v>
      </c>
      <c r="I39" s="868">
        <f t="shared" ref="I39:I101" si="1">ROUND(F39*H39,0)</f>
        <v>0</v>
      </c>
      <c r="K39" s="869"/>
    </row>
    <row r="40" spans="2:13" ht="33" customHeight="1" outlineLevel="1">
      <c r="B40" s="1488"/>
      <c r="C40" s="1462"/>
      <c r="D40" s="1468"/>
      <c r="E40" s="849" t="s">
        <v>861</v>
      </c>
      <c r="F40" s="852"/>
      <c r="G40" s="847" t="s">
        <v>838</v>
      </c>
      <c r="H40" s="867">
        <f>ROUND(540000/6,9)</f>
        <v>90000</v>
      </c>
      <c r="I40" s="868">
        <f t="shared" si="1"/>
        <v>0</v>
      </c>
    </row>
    <row r="41" spans="2:13" ht="19.899999999999999" customHeight="1" outlineLevel="1">
      <c r="B41" s="1488"/>
      <c r="C41" s="1462"/>
      <c r="D41" s="1468"/>
      <c r="E41" s="849" t="s">
        <v>862</v>
      </c>
      <c r="F41" s="922">
        <v>6</v>
      </c>
      <c r="G41" s="847" t="s">
        <v>838</v>
      </c>
      <c r="H41" s="867">
        <v>120000</v>
      </c>
      <c r="I41" s="868">
        <f t="shared" si="1"/>
        <v>720000</v>
      </c>
    </row>
    <row r="42" spans="2:13" ht="23.45" customHeight="1" outlineLevel="1">
      <c r="B42" s="1488"/>
      <c r="C42" s="1462"/>
      <c r="D42" s="1468"/>
      <c r="E42" s="845" t="s">
        <v>863</v>
      </c>
      <c r="F42" s="852"/>
      <c r="G42" s="847" t="s">
        <v>838</v>
      </c>
      <c r="H42" s="867">
        <v>80000</v>
      </c>
      <c r="I42" s="868">
        <f t="shared" si="1"/>
        <v>0</v>
      </c>
    </row>
    <row r="43" spans="2:13" ht="13.15" customHeight="1" outlineLevel="1">
      <c r="B43" s="1488"/>
      <c r="C43" s="1462"/>
      <c r="D43" s="1468" t="s">
        <v>864</v>
      </c>
      <c r="E43" s="845" t="s">
        <v>865</v>
      </c>
      <c r="F43" s="870"/>
      <c r="G43" s="847" t="s">
        <v>866</v>
      </c>
      <c r="H43" s="871">
        <v>0</v>
      </c>
      <c r="I43" s="868">
        <f t="shared" si="1"/>
        <v>0</v>
      </c>
    </row>
    <row r="44" spans="2:13" ht="13.15" customHeight="1" outlineLevel="1">
      <c r="B44" s="1488"/>
      <c r="C44" s="1462"/>
      <c r="D44" s="1468"/>
      <c r="E44" s="845" t="s">
        <v>867</v>
      </c>
      <c r="F44" s="870"/>
      <c r="G44" s="847" t="s">
        <v>866</v>
      </c>
      <c r="H44" s="871">
        <v>5400000</v>
      </c>
      <c r="I44" s="868">
        <f t="shared" si="1"/>
        <v>0</v>
      </c>
    </row>
    <row r="45" spans="2:13" ht="13.15" customHeight="1" outlineLevel="1">
      <c r="B45" s="1488"/>
      <c r="C45" s="1462"/>
      <c r="D45" s="1468"/>
      <c r="E45" s="845" t="s">
        <v>868</v>
      </c>
      <c r="F45" s="870"/>
      <c r="G45" s="847" t="s">
        <v>838</v>
      </c>
      <c r="H45" s="871">
        <v>75000</v>
      </c>
      <c r="I45" s="868">
        <f t="shared" si="1"/>
        <v>0</v>
      </c>
      <c r="M45" s="869"/>
    </row>
    <row r="46" spans="2:13" ht="13.15" customHeight="1" outlineLevel="1">
      <c r="B46" s="1488"/>
      <c r="C46" s="1462"/>
      <c r="D46" s="1468"/>
      <c r="E46" s="845" t="s">
        <v>869</v>
      </c>
      <c r="F46" s="870"/>
      <c r="G46" s="847" t="s">
        <v>838</v>
      </c>
      <c r="H46" s="871">
        <v>35420</v>
      </c>
      <c r="I46" s="868">
        <f t="shared" si="1"/>
        <v>0</v>
      </c>
    </row>
    <row r="47" spans="2:13" ht="13.15" customHeight="1" outlineLevel="1">
      <c r="B47" s="1488"/>
      <c r="C47" s="1462"/>
      <c r="D47" s="1468"/>
      <c r="E47" s="856" t="s">
        <v>870</v>
      </c>
      <c r="F47" s="923">
        <f>+$D$16</f>
        <v>1</v>
      </c>
      <c r="G47" s="847" t="s">
        <v>838</v>
      </c>
      <c r="H47" s="876">
        <v>210000</v>
      </c>
      <c r="I47" s="873">
        <f t="shared" si="1"/>
        <v>210000</v>
      </c>
    </row>
    <row r="48" spans="2:13" ht="13.15" customHeight="1" outlineLevel="1">
      <c r="B48" s="1488"/>
      <c r="C48" s="1462"/>
      <c r="D48" s="1468"/>
      <c r="E48" s="845" t="s">
        <v>871</v>
      </c>
      <c r="F48" s="923">
        <v>3</v>
      </c>
      <c r="G48" s="847" t="s">
        <v>838</v>
      </c>
      <c r="H48" s="867">
        <v>55184</v>
      </c>
      <c r="I48" s="868">
        <f t="shared" si="1"/>
        <v>165552</v>
      </c>
    </row>
    <row r="49" spans="2:14" ht="13.15" customHeight="1" outlineLevel="1">
      <c r="B49" s="1488"/>
      <c r="C49" s="1462"/>
      <c r="D49" s="1468"/>
      <c r="E49" s="845" t="s">
        <v>872</v>
      </c>
      <c r="F49" s="923">
        <v>1</v>
      </c>
      <c r="G49" s="847" t="s">
        <v>838</v>
      </c>
      <c r="H49" s="867">
        <f>159900</f>
        <v>159900</v>
      </c>
      <c r="I49" s="868">
        <f t="shared" si="1"/>
        <v>159900</v>
      </c>
    </row>
    <row r="50" spans="2:14" ht="13.15" customHeight="1" outlineLevel="1">
      <c r="B50" s="1488"/>
      <c r="C50" s="1462"/>
      <c r="D50" s="1468"/>
      <c r="E50" s="845" t="s">
        <v>873</v>
      </c>
      <c r="F50" s="923">
        <v>2</v>
      </c>
      <c r="G50" s="847" t="s">
        <v>874</v>
      </c>
      <c r="H50" s="867">
        <v>54000</v>
      </c>
      <c r="I50" s="868">
        <f t="shared" si="1"/>
        <v>108000</v>
      </c>
    </row>
    <row r="51" spans="2:14" ht="13.15" customHeight="1" outlineLevel="1">
      <c r="B51" s="1488"/>
      <c r="C51" s="1462"/>
      <c r="D51" s="1468"/>
      <c r="E51" s="845" t="s">
        <v>875</v>
      </c>
      <c r="F51" s="923">
        <f>2*PLAZO/4</f>
        <v>4</v>
      </c>
      <c r="G51" s="847" t="s">
        <v>876</v>
      </c>
      <c r="H51" s="867">
        <f>226760/2</f>
        <v>113380</v>
      </c>
      <c r="I51" s="868">
        <f t="shared" si="1"/>
        <v>453520</v>
      </c>
    </row>
    <row r="52" spans="2:14" ht="13.15" customHeight="1" outlineLevel="1">
      <c r="B52" s="1488"/>
      <c r="C52" s="1462"/>
      <c r="D52" s="1468"/>
      <c r="E52" s="845" t="s">
        <v>877</v>
      </c>
      <c r="F52" s="870"/>
      <c r="G52" s="847" t="s">
        <v>838</v>
      </c>
      <c r="H52" s="867">
        <v>46000</v>
      </c>
      <c r="I52" s="868">
        <f t="shared" si="1"/>
        <v>0</v>
      </c>
    </row>
    <row r="53" spans="2:14" ht="13.15" customHeight="1" outlineLevel="1">
      <c r="B53" s="1488"/>
      <c r="C53" s="1462"/>
      <c r="D53" s="1468"/>
      <c r="E53" s="845" t="s">
        <v>878</v>
      </c>
      <c r="F53" s="870">
        <f>+RUIDO</f>
        <v>0</v>
      </c>
      <c r="G53" s="847" t="s">
        <v>838</v>
      </c>
      <c r="H53" s="871">
        <v>144000</v>
      </c>
      <c r="I53" s="868">
        <f t="shared" si="1"/>
        <v>0</v>
      </c>
    </row>
    <row r="54" spans="2:14" ht="13.15" customHeight="1" outlineLevel="1">
      <c r="B54" s="1488"/>
      <c r="C54" s="1462"/>
      <c r="D54" s="1468"/>
      <c r="E54" s="845" t="s">
        <v>879</v>
      </c>
      <c r="F54" s="923">
        <v>1</v>
      </c>
      <c r="G54" s="847" t="s">
        <v>838</v>
      </c>
      <c r="H54" s="867">
        <v>86400</v>
      </c>
      <c r="I54" s="868">
        <f t="shared" si="1"/>
        <v>86400</v>
      </c>
    </row>
    <row r="55" spans="2:14" ht="13.15" customHeight="1" outlineLevel="1">
      <c r="B55" s="1488"/>
      <c r="C55" s="1462"/>
      <c r="D55" s="1468"/>
      <c r="E55" s="845" t="s">
        <v>880</v>
      </c>
      <c r="F55" s="922">
        <f>+$F$47</f>
        <v>1</v>
      </c>
      <c r="G55" s="847" t="s">
        <v>838</v>
      </c>
      <c r="H55" s="867">
        <v>320000</v>
      </c>
      <c r="I55" s="868">
        <f t="shared" si="1"/>
        <v>320000</v>
      </c>
    </row>
    <row r="56" spans="2:14" ht="13.15" customHeight="1" outlineLevel="1">
      <c r="B56" s="1488"/>
      <c r="C56" s="1462"/>
      <c r="D56" s="1468"/>
      <c r="E56" s="845" t="s">
        <v>881</v>
      </c>
      <c r="F56" s="922">
        <f>+$D$16</f>
        <v>1</v>
      </c>
      <c r="G56" s="847" t="s">
        <v>838</v>
      </c>
      <c r="H56" s="867">
        <f>ROUND(326667/4,0)</f>
        <v>81667</v>
      </c>
      <c r="I56" s="868">
        <f t="shared" si="1"/>
        <v>81667</v>
      </c>
    </row>
    <row r="57" spans="2:14" ht="13.15" customHeight="1" outlineLevel="1">
      <c r="B57" s="1488"/>
      <c r="C57" s="1462"/>
      <c r="D57" s="1468"/>
      <c r="E57" s="845" t="s">
        <v>882</v>
      </c>
      <c r="F57" s="922">
        <v>1</v>
      </c>
      <c r="G57" s="847" t="s">
        <v>838</v>
      </c>
      <c r="H57" s="867">
        <f>ROUND(71000/4,0)</f>
        <v>17750</v>
      </c>
      <c r="I57" s="868">
        <f t="shared" si="1"/>
        <v>17750</v>
      </c>
    </row>
    <row r="58" spans="2:14" ht="13.15" customHeight="1" outlineLevel="1">
      <c r="B58" s="1488"/>
      <c r="C58" s="1462"/>
      <c r="D58" s="1468"/>
      <c r="E58" s="845" t="s">
        <v>883</v>
      </c>
      <c r="F58" s="852">
        <v>0</v>
      </c>
      <c r="G58" s="847" t="s">
        <v>838</v>
      </c>
      <c r="H58" s="871">
        <f>438000*1.19</f>
        <v>521220</v>
      </c>
      <c r="I58" s="868">
        <f t="shared" si="1"/>
        <v>0</v>
      </c>
      <c r="M58" s="869"/>
    </row>
    <row r="59" spans="2:14" ht="13.15" customHeight="1" outlineLevel="1">
      <c r="B59" s="1488"/>
      <c r="C59" s="1462"/>
      <c r="D59" s="1468"/>
      <c r="E59" s="845" t="s">
        <v>884</v>
      </c>
      <c r="F59" s="870">
        <v>0</v>
      </c>
      <c r="G59" s="847" t="s">
        <v>838</v>
      </c>
      <c r="H59" s="871">
        <v>380000</v>
      </c>
      <c r="I59" s="868">
        <f t="shared" si="1"/>
        <v>0</v>
      </c>
    </row>
    <row r="60" spans="2:14" ht="13.15" customHeight="1" outlineLevel="1">
      <c r="B60" s="1488"/>
      <c r="C60" s="1462"/>
      <c r="D60" s="1468"/>
      <c r="E60" s="845" t="s">
        <v>885</v>
      </c>
      <c r="F60" s="922">
        <f>ROUND(+(F56+F57)*(PLAZO/12),0)</f>
        <v>1</v>
      </c>
      <c r="G60" s="847" t="s">
        <v>838</v>
      </c>
      <c r="H60" s="867">
        <f>18600*1.19</f>
        <v>22134</v>
      </c>
      <c r="I60" s="868">
        <f t="shared" si="1"/>
        <v>22134</v>
      </c>
    </row>
    <row r="61" spans="2:14" ht="22.5" outlineLevel="1">
      <c r="B61" s="1488"/>
      <c r="C61" s="1462"/>
      <c r="D61" s="1468"/>
      <c r="E61" s="845" t="s">
        <v>886</v>
      </c>
      <c r="F61" s="923">
        <f>+PLAZO*2</f>
        <v>16</v>
      </c>
      <c r="G61" s="847" t="s">
        <v>890</v>
      </c>
      <c r="H61" s="867">
        <f>H64*15</f>
        <v>105900</v>
      </c>
      <c r="I61" s="868">
        <f t="shared" si="1"/>
        <v>1694400</v>
      </c>
      <c r="K61" s="823" t="s">
        <v>1058</v>
      </c>
      <c r="M61" s="823">
        <f>+H64*2</f>
        <v>14120</v>
      </c>
      <c r="N61" s="823">
        <f>+M61*15</f>
        <v>211800</v>
      </c>
    </row>
    <row r="62" spans="2:14" ht="13.15" customHeight="1" outlineLevel="1">
      <c r="B62" s="1488"/>
      <c r="C62" s="1462"/>
      <c r="D62" s="1468"/>
      <c r="E62" s="845" t="s">
        <v>887</v>
      </c>
      <c r="F62" s="923">
        <v>1</v>
      </c>
      <c r="G62" s="847" t="s">
        <v>838</v>
      </c>
      <c r="H62" s="867">
        <f>(8000000/500)*T.TRABAJ.</f>
        <v>2304000</v>
      </c>
      <c r="I62" s="868">
        <f t="shared" si="1"/>
        <v>2304000</v>
      </c>
    </row>
    <row r="63" spans="2:14" ht="22.9" customHeight="1" outlineLevel="1">
      <c r="B63" s="1488"/>
      <c r="C63" s="1462"/>
      <c r="D63" s="1468"/>
      <c r="E63" s="875" t="s">
        <v>888</v>
      </c>
      <c r="F63" s="923">
        <v>1</v>
      </c>
      <c r="G63" s="847" t="s">
        <v>762</v>
      </c>
      <c r="H63" s="867">
        <v>550000</v>
      </c>
      <c r="I63" s="871">
        <f>ROUND(F63*H63,0)</f>
        <v>550000</v>
      </c>
    </row>
    <row r="64" spans="2:14" ht="15" customHeight="1" outlineLevel="1">
      <c r="B64" s="1488"/>
      <c r="C64" s="1462"/>
      <c r="D64" s="1468"/>
      <c r="E64" s="875" t="s">
        <v>889</v>
      </c>
      <c r="F64" s="922">
        <f>+PLAZO*4*T.TRABAJ.</f>
        <v>4608</v>
      </c>
      <c r="G64" s="847" t="s">
        <v>890</v>
      </c>
      <c r="H64" s="867">
        <f>+PERSONAL!D31*0.8+PERSONAL!D32*0.2</f>
        <v>7060</v>
      </c>
      <c r="I64" s="871">
        <f>ROUND(F64*H64,0)</f>
        <v>32532480</v>
      </c>
      <c r="K64" s="823">
        <f>(10+5)*6*4</f>
        <v>360</v>
      </c>
      <c r="L64" s="920" t="s">
        <v>971</v>
      </c>
      <c r="M64" s="920"/>
      <c r="N64" s="921"/>
    </row>
    <row r="65" spans="2:13" ht="13.15" customHeight="1" outlineLevel="1">
      <c r="B65" s="1488"/>
      <c r="C65" s="1462"/>
      <c r="D65" s="1468"/>
      <c r="E65" s="845" t="s">
        <v>891</v>
      </c>
      <c r="F65" s="870">
        <v>0</v>
      </c>
      <c r="G65" s="847" t="s">
        <v>838</v>
      </c>
      <c r="H65" s="867">
        <v>1300000</v>
      </c>
      <c r="I65" s="868">
        <f t="shared" si="1"/>
        <v>0</v>
      </c>
      <c r="K65" s="823">
        <f>+K64/60</f>
        <v>6</v>
      </c>
    </row>
    <row r="66" spans="2:13" ht="13.15" customHeight="1" outlineLevel="1">
      <c r="B66" s="1488"/>
      <c r="C66" s="1462"/>
      <c r="D66" s="1468"/>
      <c r="E66" s="845" t="s">
        <v>892</v>
      </c>
      <c r="F66" s="870">
        <v>0</v>
      </c>
      <c r="G66" s="847" t="s">
        <v>838</v>
      </c>
      <c r="H66" s="867">
        <v>450000</v>
      </c>
      <c r="I66" s="868">
        <f t="shared" si="1"/>
        <v>0</v>
      </c>
    </row>
    <row r="67" spans="2:13" ht="13.15" customHeight="1" outlineLevel="1">
      <c r="B67" s="1488"/>
      <c r="C67" s="1462"/>
      <c r="D67" s="1469"/>
      <c r="E67" s="845" t="s">
        <v>893</v>
      </c>
      <c r="F67" s="870">
        <v>0</v>
      </c>
      <c r="G67" s="847" t="s">
        <v>838</v>
      </c>
      <c r="H67" s="867">
        <v>450000</v>
      </c>
      <c r="I67" s="868">
        <f t="shared" si="1"/>
        <v>0</v>
      </c>
    </row>
    <row r="68" spans="2:13" ht="12" customHeight="1" outlineLevel="1">
      <c r="B68" s="1488"/>
      <c r="C68" s="1462"/>
      <c r="D68" s="1468" t="s">
        <v>894</v>
      </c>
      <c r="E68" s="856" t="s">
        <v>895</v>
      </c>
      <c r="F68" s="922">
        <f>+SUM('CALCULO AU'!C4:C8)+'CALCULO AU'!C14+'CALCULO AU'!C15+3</f>
        <v>10</v>
      </c>
      <c r="G68" s="850" t="s">
        <v>838</v>
      </c>
      <c r="H68" s="876">
        <f>80000*1.19</f>
        <v>95200</v>
      </c>
      <c r="I68" s="873">
        <f t="shared" si="1"/>
        <v>952000</v>
      </c>
      <c r="K68" s="869">
        <f>+SUM(I72:I90)</f>
        <v>7389073</v>
      </c>
    </row>
    <row r="69" spans="2:13" ht="12" customHeight="1" outlineLevel="1">
      <c r="B69" s="1488"/>
      <c r="C69" s="1462"/>
      <c r="D69" s="1468"/>
      <c r="E69" s="875" t="s">
        <v>896</v>
      </c>
      <c r="F69" s="922">
        <v>2</v>
      </c>
      <c r="G69" s="847" t="s">
        <v>838</v>
      </c>
      <c r="H69" s="904">
        <f>8700*1.19</f>
        <v>10353</v>
      </c>
      <c r="I69" s="872">
        <f t="shared" si="1"/>
        <v>20706</v>
      </c>
      <c r="K69" s="981">
        <f>+K68/120</f>
        <v>61575.60833333333</v>
      </c>
    </row>
    <row r="70" spans="2:13" ht="12" customHeight="1" outlineLevel="1">
      <c r="B70" s="1488"/>
      <c r="C70" s="1462"/>
      <c r="D70" s="1468"/>
      <c r="E70" s="875" t="s">
        <v>897</v>
      </c>
      <c r="F70" s="923"/>
      <c r="G70" s="847" t="s">
        <v>838</v>
      </c>
      <c r="H70" s="876">
        <f>(64600+38500)*1.19</f>
        <v>122689</v>
      </c>
      <c r="I70" s="872">
        <f t="shared" si="1"/>
        <v>0</v>
      </c>
      <c r="K70" s="869"/>
    </row>
    <row r="71" spans="2:13" ht="12" customHeight="1" outlineLevel="1">
      <c r="B71" s="1488"/>
      <c r="C71" s="1462"/>
      <c r="D71" s="1468"/>
      <c r="E71" s="877" t="s">
        <v>898</v>
      </c>
      <c r="F71" s="923"/>
      <c r="G71" s="910" t="str">
        <f>+G39</f>
        <v>Un</v>
      </c>
      <c r="H71" s="876">
        <f>71900*1.19</f>
        <v>85561</v>
      </c>
      <c r="I71" s="878">
        <f t="shared" si="1"/>
        <v>0</v>
      </c>
    </row>
    <row r="72" spans="2:13" ht="12" customHeight="1" outlineLevel="1">
      <c r="B72" s="1488"/>
      <c r="C72" s="1462"/>
      <c r="D72" s="1468"/>
      <c r="E72" s="856" t="s">
        <v>899</v>
      </c>
      <c r="F72" s="922"/>
      <c r="G72" s="850" t="s">
        <v>838</v>
      </c>
      <c r="H72" s="876">
        <f>35800*1.19</f>
        <v>42602</v>
      </c>
      <c r="I72" s="873">
        <f t="shared" si="1"/>
        <v>0</v>
      </c>
    </row>
    <row r="73" spans="2:13" ht="12" customHeight="1" outlineLevel="1">
      <c r="B73" s="1488"/>
      <c r="C73" s="1462"/>
      <c r="D73" s="1468"/>
      <c r="E73" s="856" t="s">
        <v>900</v>
      </c>
      <c r="F73" s="922"/>
      <c r="G73" s="850" t="s">
        <v>838</v>
      </c>
      <c r="H73" s="876">
        <f>1300*1.19</f>
        <v>1547</v>
      </c>
      <c r="I73" s="873">
        <f t="shared" si="1"/>
        <v>0</v>
      </c>
    </row>
    <row r="74" spans="2:13" ht="12" customHeight="1" outlineLevel="1">
      <c r="B74" s="1488"/>
      <c r="C74" s="1462"/>
      <c r="D74" s="1468"/>
      <c r="E74" s="856" t="s">
        <v>901</v>
      </c>
      <c r="F74" s="922"/>
      <c r="G74" s="850" t="s">
        <v>838</v>
      </c>
      <c r="H74" s="876">
        <f>31900*1.19</f>
        <v>37961</v>
      </c>
      <c r="I74" s="873">
        <f t="shared" si="1"/>
        <v>0</v>
      </c>
    </row>
    <row r="75" spans="2:13" ht="12" customHeight="1" outlineLevel="1">
      <c r="B75" s="1488"/>
      <c r="C75" s="1462"/>
      <c r="D75" s="1468"/>
      <c r="E75" s="856" t="s">
        <v>902</v>
      </c>
      <c r="F75" s="922"/>
      <c r="G75" s="850" t="s">
        <v>838</v>
      </c>
      <c r="H75" s="876">
        <f>5000*1.19</f>
        <v>5950</v>
      </c>
      <c r="I75" s="873">
        <f t="shared" si="1"/>
        <v>0</v>
      </c>
    </row>
    <row r="76" spans="2:13" ht="12" customHeight="1" outlineLevel="1">
      <c r="B76" s="1488"/>
      <c r="C76" s="1462"/>
      <c r="D76" s="1468"/>
      <c r="E76" s="856" t="s">
        <v>903</v>
      </c>
      <c r="F76" s="922"/>
      <c r="G76" s="850" t="s">
        <v>838</v>
      </c>
      <c r="H76" s="876">
        <f>13557</f>
        <v>13557</v>
      </c>
      <c r="I76" s="873">
        <f t="shared" si="1"/>
        <v>0</v>
      </c>
    </row>
    <row r="77" spans="2:13" ht="12" customHeight="1" outlineLevel="1">
      <c r="B77" s="1488"/>
      <c r="C77" s="1462"/>
      <c r="D77" s="1468"/>
      <c r="E77" s="879" t="s">
        <v>904</v>
      </c>
      <c r="F77" s="922"/>
      <c r="G77" s="850" t="s">
        <v>838</v>
      </c>
      <c r="H77" s="876">
        <f>98953/100</f>
        <v>989.53</v>
      </c>
      <c r="I77" s="873">
        <f t="shared" si="1"/>
        <v>0</v>
      </c>
    </row>
    <row r="78" spans="2:13" ht="12" customHeight="1" outlineLevel="1">
      <c r="B78" s="1488"/>
      <c r="C78" s="1462"/>
      <c r="D78" s="1468"/>
      <c r="E78" s="879" t="s">
        <v>905</v>
      </c>
      <c r="F78" s="922"/>
      <c r="G78" s="850" t="s">
        <v>838</v>
      </c>
      <c r="H78" s="876">
        <v>32900</v>
      </c>
      <c r="I78" s="873">
        <f t="shared" si="1"/>
        <v>0</v>
      </c>
      <c r="M78" s="869"/>
    </row>
    <row r="79" spans="2:13" ht="12" customHeight="1" outlineLevel="1">
      <c r="B79" s="1488"/>
      <c r="C79" s="1462"/>
      <c r="D79" s="1468"/>
      <c r="E79" s="879" t="s">
        <v>906</v>
      </c>
      <c r="F79" s="922"/>
      <c r="G79" s="850" t="s">
        <v>838</v>
      </c>
      <c r="H79" s="876">
        <v>8900</v>
      </c>
      <c r="I79" s="873">
        <f t="shared" si="1"/>
        <v>0</v>
      </c>
    </row>
    <row r="80" spans="2:13" ht="12" customHeight="1" outlineLevel="1">
      <c r="B80" s="1488"/>
      <c r="C80" s="1462"/>
      <c r="D80" s="1468"/>
      <c r="E80" s="879" t="s">
        <v>907</v>
      </c>
      <c r="F80" s="922"/>
      <c r="G80" s="850" t="s">
        <v>838</v>
      </c>
      <c r="H80" s="876">
        <f>5600*1.19</f>
        <v>6664</v>
      </c>
      <c r="I80" s="873">
        <f t="shared" si="1"/>
        <v>0</v>
      </c>
    </row>
    <row r="81" spans="2:11" ht="12" customHeight="1" outlineLevel="1">
      <c r="B81" s="1488"/>
      <c r="C81" s="1462"/>
      <c r="D81" s="1468"/>
      <c r="E81" s="879" t="s">
        <v>908</v>
      </c>
      <c r="F81" s="922"/>
      <c r="G81" s="850" t="s">
        <v>838</v>
      </c>
      <c r="H81" s="876">
        <f>3700*1.19</f>
        <v>4403</v>
      </c>
      <c r="I81" s="873">
        <f t="shared" si="1"/>
        <v>0</v>
      </c>
    </row>
    <row r="82" spans="2:11" ht="12" customHeight="1" outlineLevel="1">
      <c r="B82" s="1488"/>
      <c r="C82" s="1462"/>
      <c r="D82" s="1468"/>
      <c r="E82" s="879" t="s">
        <v>909</v>
      </c>
      <c r="F82" s="922"/>
      <c r="G82" s="850" t="s">
        <v>838</v>
      </c>
      <c r="H82" s="876">
        <f>650*1.19</f>
        <v>773.5</v>
      </c>
      <c r="I82" s="873">
        <f t="shared" si="1"/>
        <v>0</v>
      </c>
    </row>
    <row r="83" spans="2:11" ht="22.5" outlineLevel="1">
      <c r="B83" s="1488"/>
      <c r="C83" s="1462"/>
      <c r="D83" s="1468"/>
      <c r="E83" s="856" t="s">
        <v>910</v>
      </c>
      <c r="F83" s="922">
        <f>ROUND(T.TRABAJ.*((PLAZO*26)/3)*0.05,0)</f>
        <v>499</v>
      </c>
      <c r="G83" s="850" t="s">
        <v>838</v>
      </c>
      <c r="H83" s="876">
        <f>5800</f>
        <v>5800</v>
      </c>
      <c r="I83" s="873">
        <f t="shared" si="1"/>
        <v>2894200</v>
      </c>
      <c r="K83" s="880"/>
    </row>
    <row r="84" spans="2:11" outlineLevel="1">
      <c r="B84" s="1488"/>
      <c r="C84" s="1462"/>
      <c r="D84" s="1468"/>
      <c r="E84" s="856" t="s">
        <v>911</v>
      </c>
      <c r="F84" s="922">
        <f>ROUND(+T.TRABAJ.*0.02,0)</f>
        <v>3</v>
      </c>
      <c r="G84" s="850" t="s">
        <v>838</v>
      </c>
      <c r="H84" s="876">
        <f>ROUND(127400/4,0)</f>
        <v>31850</v>
      </c>
      <c r="I84" s="873">
        <f t="shared" si="1"/>
        <v>95550</v>
      </c>
      <c r="K84" s="880"/>
    </row>
    <row r="85" spans="2:11" outlineLevel="1">
      <c r="B85" s="1488"/>
      <c r="C85" s="1462"/>
      <c r="D85" s="1468"/>
      <c r="E85" s="856" t="s">
        <v>912</v>
      </c>
      <c r="F85" s="922">
        <f>+F84</f>
        <v>3</v>
      </c>
      <c r="G85" s="850" t="s">
        <v>838</v>
      </c>
      <c r="H85" s="876">
        <f>20400*1.19</f>
        <v>24276</v>
      </c>
      <c r="I85" s="873">
        <f t="shared" si="1"/>
        <v>72828</v>
      </c>
      <c r="K85" s="880"/>
    </row>
    <row r="86" spans="2:11" outlineLevel="1">
      <c r="B86" s="1488"/>
      <c r="C86" s="1462"/>
      <c r="D86" s="1468"/>
      <c r="E86" s="856" t="s">
        <v>913</v>
      </c>
      <c r="F86" s="922">
        <f>ROUND(+T.TRABAJ.*0.05,0)</f>
        <v>7</v>
      </c>
      <c r="G86" s="850" t="s">
        <v>838</v>
      </c>
      <c r="H86" s="876">
        <f>27000*1.19</f>
        <v>32130</v>
      </c>
      <c r="I86" s="873">
        <f t="shared" si="1"/>
        <v>224910</v>
      </c>
      <c r="K86" s="880"/>
    </row>
    <row r="87" spans="2:11" outlineLevel="1">
      <c r="B87" s="1488"/>
      <c r="C87" s="1462"/>
      <c r="D87" s="1468"/>
      <c r="E87" s="856" t="s">
        <v>914</v>
      </c>
      <c r="F87" s="922">
        <f>ROUND(+T.TRABAJ.*0.05,0)</f>
        <v>7</v>
      </c>
      <c r="G87" s="850" t="s">
        <v>838</v>
      </c>
      <c r="H87" s="876">
        <v>15000</v>
      </c>
      <c r="I87" s="873">
        <f t="shared" si="1"/>
        <v>105000</v>
      </c>
      <c r="K87" s="880"/>
    </row>
    <row r="88" spans="2:11" ht="12" customHeight="1" outlineLevel="1">
      <c r="B88" s="1488"/>
      <c r="C88" s="1462"/>
      <c r="D88" s="1468"/>
      <c r="E88" s="856" t="s">
        <v>915</v>
      </c>
      <c r="F88" s="922">
        <f>T.TRABAJ.*0.5</f>
        <v>72</v>
      </c>
      <c r="G88" s="850" t="s">
        <v>838</v>
      </c>
      <c r="H88" s="876">
        <f>40000*1.19</f>
        <v>47600</v>
      </c>
      <c r="I88" s="873">
        <f t="shared" si="1"/>
        <v>3427200</v>
      </c>
    </row>
    <row r="89" spans="2:11" ht="12" customHeight="1" outlineLevel="1">
      <c r="B89" s="1488"/>
      <c r="C89" s="1462"/>
      <c r="D89" s="1468"/>
      <c r="E89" s="856" t="s">
        <v>916</v>
      </c>
      <c r="F89" s="922">
        <v>1</v>
      </c>
      <c r="G89" s="850" t="s">
        <v>838</v>
      </c>
      <c r="H89" s="876">
        <f>ROUND(205900*1.19/4,0)</f>
        <v>61255</v>
      </c>
      <c r="I89" s="873">
        <f t="shared" si="1"/>
        <v>61255</v>
      </c>
    </row>
    <row r="90" spans="2:11" ht="19.899999999999999" customHeight="1" outlineLevel="1">
      <c r="B90" s="1488"/>
      <c r="C90" s="1462"/>
      <c r="D90" s="1468"/>
      <c r="E90" s="856" t="s">
        <v>1057</v>
      </c>
      <c r="F90" s="922">
        <v>2</v>
      </c>
      <c r="G90" s="850" t="s">
        <v>917</v>
      </c>
      <c r="H90" s="876">
        <f>213500*1.19</f>
        <v>254065</v>
      </c>
      <c r="I90" s="873">
        <f t="shared" si="1"/>
        <v>508130</v>
      </c>
    </row>
    <row r="91" spans="2:11" ht="12" customHeight="1" outlineLevel="1">
      <c r="B91" s="1488"/>
      <c r="C91" s="1462"/>
      <c r="D91" s="1468" t="s">
        <v>918</v>
      </c>
      <c r="E91" s="856" t="s">
        <v>1060</v>
      </c>
      <c r="F91" s="922">
        <f>ROUND(+T.TRABAJ.*0.2,0)</f>
        <v>29</v>
      </c>
      <c r="G91" s="850" t="s">
        <v>917</v>
      </c>
      <c r="H91" s="876">
        <f>ROUND(462184*(PLAZO)/12,0)</f>
        <v>308123</v>
      </c>
      <c r="I91" s="873">
        <f t="shared" si="1"/>
        <v>8935567</v>
      </c>
      <c r="K91" s="823" t="s">
        <v>1061</v>
      </c>
    </row>
    <row r="92" spans="2:11" ht="12" customHeight="1" outlineLevel="1">
      <c r="B92" s="1488"/>
      <c r="C92" s="1462"/>
      <c r="D92" s="1468"/>
      <c r="E92" s="856" t="s">
        <v>1062</v>
      </c>
      <c r="F92" s="922">
        <f>+T.ALTURAS</f>
        <v>20</v>
      </c>
      <c r="G92" s="850" t="s">
        <v>917</v>
      </c>
      <c r="H92" s="876">
        <f>221848*1.19</f>
        <v>263999.12</v>
      </c>
      <c r="I92" s="873">
        <f t="shared" ref="I92" si="2">ROUND(F92*H92,0)</f>
        <v>5279982</v>
      </c>
    </row>
    <row r="93" spans="2:11" ht="12" customHeight="1" outlineLevel="1">
      <c r="B93" s="1488"/>
      <c r="C93" s="1462"/>
      <c r="D93" s="1468"/>
      <c r="E93" s="856" t="s">
        <v>919</v>
      </c>
      <c r="F93" s="922">
        <v>2</v>
      </c>
      <c r="G93" s="850" t="s">
        <v>917</v>
      </c>
      <c r="H93" s="876">
        <f>281641*1.19</f>
        <v>335152.78999999998</v>
      </c>
      <c r="I93" s="873">
        <f t="shared" si="1"/>
        <v>670306</v>
      </c>
    </row>
    <row r="94" spans="2:11" ht="12" customHeight="1" outlineLevel="1">
      <c r="B94" s="1488"/>
      <c r="C94" s="1462"/>
      <c r="D94" s="1468"/>
      <c r="E94" s="856" t="s">
        <v>920</v>
      </c>
      <c r="F94" s="922">
        <f>ROUND(+T.ALTURAS/2,0)</f>
        <v>10</v>
      </c>
      <c r="G94" s="850" t="s">
        <v>917</v>
      </c>
      <c r="H94" s="876">
        <f>ROUND(136500/3,0)</f>
        <v>45500</v>
      </c>
      <c r="I94" s="868">
        <f t="shared" si="1"/>
        <v>455000</v>
      </c>
    </row>
    <row r="95" spans="2:11" ht="12" customHeight="1" outlineLevel="1">
      <c r="B95" s="1488"/>
      <c r="C95" s="1462"/>
      <c r="D95" s="1468"/>
      <c r="E95" s="856" t="s">
        <v>921</v>
      </c>
      <c r="F95" s="922">
        <f>ROUND(+T.ALTURAS/2,0)</f>
        <v>10</v>
      </c>
      <c r="G95" s="850" t="s">
        <v>917</v>
      </c>
      <c r="H95" s="876">
        <f>ROUND(229900/3,0)</f>
        <v>76633</v>
      </c>
      <c r="I95" s="868">
        <f t="shared" si="1"/>
        <v>766330</v>
      </c>
    </row>
    <row r="96" spans="2:11" ht="12" customHeight="1" outlineLevel="1">
      <c r="B96" s="1488"/>
      <c r="C96" s="1462"/>
      <c r="D96" s="1468"/>
      <c r="E96" s="856" t="s">
        <v>922</v>
      </c>
      <c r="F96" s="922">
        <f>ROUND(+F95/5,0)</f>
        <v>2</v>
      </c>
      <c r="G96" s="850" t="s">
        <v>838</v>
      </c>
      <c r="H96" s="876">
        <f>ROUND(229900/3,0)</f>
        <v>76633</v>
      </c>
      <c r="I96" s="868">
        <f t="shared" si="1"/>
        <v>153266</v>
      </c>
    </row>
    <row r="97" spans="2:13" ht="12" customHeight="1" outlineLevel="1">
      <c r="B97" s="1488"/>
      <c r="C97" s="1462"/>
      <c r="D97" s="1468"/>
      <c r="E97" s="856" t="s">
        <v>923</v>
      </c>
      <c r="F97" s="922">
        <f>+F96</f>
        <v>2</v>
      </c>
      <c r="G97" s="850" t="s">
        <v>838</v>
      </c>
      <c r="H97" s="876">
        <f>ROUND(319000/3,0)</f>
        <v>106333</v>
      </c>
      <c r="I97" s="868">
        <f t="shared" si="1"/>
        <v>212666</v>
      </c>
    </row>
    <row r="98" spans="2:13" ht="12" customHeight="1" outlineLevel="1">
      <c r="B98" s="1488"/>
      <c r="C98" s="1462"/>
      <c r="D98" s="1468"/>
      <c r="E98" s="856" t="s">
        <v>924</v>
      </c>
      <c r="F98" s="922">
        <f>+F97</f>
        <v>2</v>
      </c>
      <c r="G98" s="850" t="s">
        <v>838</v>
      </c>
      <c r="H98" s="876">
        <f>ROUND(489000/3,0)</f>
        <v>163000</v>
      </c>
      <c r="I98" s="868">
        <f t="shared" si="1"/>
        <v>326000</v>
      </c>
    </row>
    <row r="99" spans="2:13" ht="12" customHeight="1" outlineLevel="1">
      <c r="B99" s="1488"/>
      <c r="C99" s="1462"/>
      <c r="D99" s="1468"/>
      <c r="E99" s="881" t="s">
        <v>925</v>
      </c>
      <c r="F99" s="922">
        <f>ROUND(+T.ALTURAS/2,0)</f>
        <v>10</v>
      </c>
      <c r="G99" s="850" t="s">
        <v>838</v>
      </c>
      <c r="H99" s="876">
        <f>84900*1.19</f>
        <v>101031</v>
      </c>
      <c r="I99" s="882">
        <f t="shared" si="1"/>
        <v>1010310</v>
      </c>
    </row>
    <row r="100" spans="2:13" ht="14.45" customHeight="1" outlineLevel="1">
      <c r="B100" s="1488"/>
      <c r="C100" s="1462"/>
      <c r="D100" s="1468"/>
      <c r="E100" s="881" t="s">
        <v>926</v>
      </c>
      <c r="F100" s="922">
        <f>+F94</f>
        <v>10</v>
      </c>
      <c r="G100" s="850" t="s">
        <v>838</v>
      </c>
      <c r="H100" s="876">
        <f>ROUND(299900/3,0)</f>
        <v>99967</v>
      </c>
      <c r="I100" s="882">
        <f t="shared" si="1"/>
        <v>999670</v>
      </c>
      <c r="L100" s="823"/>
    </row>
    <row r="101" spans="2:13" ht="12" customHeight="1" outlineLevel="1" thickBot="1">
      <c r="B101" s="1488"/>
      <c r="C101" s="1462"/>
      <c r="D101" s="1468"/>
      <c r="E101" s="881" t="s">
        <v>927</v>
      </c>
      <c r="F101" s="852"/>
      <c r="G101" s="850" t="s">
        <v>838</v>
      </c>
      <c r="H101" s="876">
        <v>236536</v>
      </c>
      <c r="I101" s="882">
        <f t="shared" si="1"/>
        <v>0</v>
      </c>
      <c r="L101" s="823"/>
    </row>
    <row r="102" spans="2:13" ht="15.6" customHeight="1" thickBot="1">
      <c r="B102" s="1478" t="s">
        <v>928</v>
      </c>
      <c r="C102" s="1479"/>
      <c r="D102" s="1480"/>
      <c r="E102" s="1480"/>
      <c r="F102" s="1480"/>
      <c r="G102" s="1480"/>
      <c r="H102" s="1480"/>
      <c r="I102" s="883">
        <f>SUM(I39:I101)</f>
        <v>66596679</v>
      </c>
      <c r="K102" s="927">
        <f>+I102/PRESUPUESTO!$F$221</f>
        <v>1.0952419443448392E-2</v>
      </c>
      <c r="L102" s="823"/>
    </row>
    <row r="103" spans="2:13" ht="12.6" customHeight="1" thickBot="1">
      <c r="B103" s="823"/>
      <c r="C103" s="823"/>
      <c r="D103" s="823"/>
      <c r="E103" s="823"/>
      <c r="F103" s="819"/>
      <c r="G103" s="823"/>
      <c r="H103" s="823"/>
      <c r="I103" s="823"/>
      <c r="L103" s="823"/>
    </row>
    <row r="104" spans="2:13" ht="18" customHeight="1" thickBot="1">
      <c r="B104" s="1481" t="s">
        <v>929</v>
      </c>
      <c r="C104" s="1482"/>
      <c r="D104" s="1483"/>
      <c r="E104" s="1483"/>
      <c r="F104" s="1483"/>
      <c r="G104" s="1483"/>
      <c r="H104" s="1483"/>
      <c r="I104" s="1484"/>
      <c r="L104" s="823"/>
    </row>
    <row r="105" spans="2:13" ht="31.9" customHeight="1" thickBot="1">
      <c r="B105" s="1485" t="s">
        <v>929</v>
      </c>
      <c r="C105" s="884" t="s">
        <v>930</v>
      </c>
      <c r="D105" s="885" t="s">
        <v>832</v>
      </c>
      <c r="E105" s="885" t="s">
        <v>833</v>
      </c>
      <c r="F105" s="886" t="s">
        <v>10</v>
      </c>
      <c r="G105" s="885" t="s">
        <v>9</v>
      </c>
      <c r="H105" s="887" t="s">
        <v>834</v>
      </c>
      <c r="I105" s="888" t="s">
        <v>105</v>
      </c>
      <c r="K105" s="839"/>
      <c r="M105" s="839"/>
    </row>
    <row r="106" spans="2:13" ht="14.45" customHeight="1" outlineLevel="1">
      <c r="B106" s="1486"/>
      <c r="C106" s="1462" t="s">
        <v>931</v>
      </c>
      <c r="D106" s="1465" t="s">
        <v>932</v>
      </c>
      <c r="E106" s="875" t="s">
        <v>933</v>
      </c>
      <c r="F106" s="912">
        <v>10</v>
      </c>
      <c r="G106" s="847" t="s">
        <v>19</v>
      </c>
      <c r="H106" s="889">
        <v>7000</v>
      </c>
      <c r="I106" s="911">
        <f t="shared" ref="I106:I150" si="3">ROUND(F106*H106,0)</f>
        <v>70000</v>
      </c>
      <c r="K106" s="839"/>
      <c r="M106" s="839"/>
    </row>
    <row r="107" spans="2:13" ht="14.45" customHeight="1" outlineLevel="1">
      <c r="B107" s="1486"/>
      <c r="C107" s="1466"/>
      <c r="D107" s="1468"/>
      <c r="E107" s="849" t="s">
        <v>934</v>
      </c>
      <c r="F107" s="874">
        <v>1</v>
      </c>
      <c r="G107" s="850" t="s">
        <v>838</v>
      </c>
      <c r="H107" s="890">
        <v>4000000</v>
      </c>
      <c r="I107" s="853">
        <f t="shared" si="3"/>
        <v>4000000</v>
      </c>
      <c r="K107" s="839"/>
      <c r="M107" s="839"/>
    </row>
    <row r="108" spans="2:13" ht="14.45" customHeight="1" outlineLevel="1">
      <c r="B108" s="1486"/>
      <c r="C108" s="1466"/>
      <c r="D108" s="1468"/>
      <c r="E108" s="856" t="s">
        <v>935</v>
      </c>
      <c r="F108" s="874">
        <v>1</v>
      </c>
      <c r="G108" s="850" t="s">
        <v>838</v>
      </c>
      <c r="H108" s="890">
        <v>850000</v>
      </c>
      <c r="I108" s="853">
        <f t="shared" si="3"/>
        <v>850000</v>
      </c>
      <c r="K108" s="839"/>
      <c r="M108" s="839"/>
    </row>
    <row r="109" spans="2:13" ht="33.75" outlineLevel="1">
      <c r="B109" s="1486"/>
      <c r="C109" s="1466"/>
      <c r="D109" s="1468"/>
      <c r="E109" s="849" t="s">
        <v>936</v>
      </c>
      <c r="F109" s="852">
        <v>0</v>
      </c>
      <c r="G109" s="850" t="s">
        <v>917</v>
      </c>
      <c r="H109" s="853">
        <v>60000</v>
      </c>
      <c r="I109" s="853">
        <f t="shared" si="3"/>
        <v>0</v>
      </c>
      <c r="K109" s="839"/>
      <c r="M109" s="839"/>
    </row>
    <row r="110" spans="2:13" ht="14.45" customHeight="1" outlineLevel="1">
      <c r="B110" s="1486"/>
      <c r="C110" s="1466"/>
      <c r="D110" s="1468"/>
      <c r="E110" s="856" t="s">
        <v>937</v>
      </c>
      <c r="F110" s="852">
        <v>0</v>
      </c>
      <c r="G110" s="850" t="s">
        <v>917</v>
      </c>
      <c r="H110" s="853">
        <v>1250000</v>
      </c>
      <c r="I110" s="853">
        <f t="shared" si="3"/>
        <v>0</v>
      </c>
      <c r="K110" s="839"/>
      <c r="M110" s="839"/>
    </row>
    <row r="111" spans="2:13" ht="14.45" customHeight="1" outlineLevel="1">
      <c r="B111" s="1486"/>
      <c r="C111" s="1466"/>
      <c r="D111" s="1468"/>
      <c r="E111" s="856" t="s">
        <v>938</v>
      </c>
      <c r="F111" s="874">
        <v>1</v>
      </c>
      <c r="G111" s="850" t="s">
        <v>838</v>
      </c>
      <c r="H111" s="890">
        <v>575000</v>
      </c>
      <c r="I111" s="853">
        <f t="shared" si="3"/>
        <v>575000</v>
      </c>
      <c r="K111" s="839"/>
      <c r="M111" s="839"/>
    </row>
    <row r="112" spans="2:13" ht="14.45" customHeight="1" outlineLevel="1">
      <c r="B112" s="1486"/>
      <c r="C112" s="1466"/>
      <c r="D112" s="1468"/>
      <c r="E112" s="856" t="s">
        <v>939</v>
      </c>
      <c r="F112" s="852">
        <v>0</v>
      </c>
      <c r="G112" s="850" t="s">
        <v>917</v>
      </c>
      <c r="H112" s="853">
        <v>350000</v>
      </c>
      <c r="I112" s="853">
        <f t="shared" si="3"/>
        <v>0</v>
      </c>
      <c r="K112" s="839"/>
      <c r="M112" s="839"/>
    </row>
    <row r="113" spans="2:13" ht="23.45" customHeight="1" outlineLevel="1">
      <c r="B113" s="1486"/>
      <c r="C113" s="1467" t="s">
        <v>940</v>
      </c>
      <c r="D113" s="1469" t="s">
        <v>941</v>
      </c>
      <c r="E113" s="856" t="s">
        <v>942</v>
      </c>
      <c r="F113" s="874">
        <v>1</v>
      </c>
      <c r="G113" s="850" t="s">
        <v>838</v>
      </c>
      <c r="H113" s="890">
        <v>450000</v>
      </c>
      <c r="I113" s="853">
        <f t="shared" si="3"/>
        <v>450000</v>
      </c>
      <c r="K113" s="839"/>
      <c r="M113" s="839"/>
    </row>
    <row r="114" spans="2:13" ht="22.5" outlineLevel="1">
      <c r="B114" s="1486"/>
      <c r="C114" s="1461"/>
      <c r="D114" s="1464"/>
      <c r="E114" s="856" t="s">
        <v>943</v>
      </c>
      <c r="F114" s="874">
        <v>6</v>
      </c>
      <c r="G114" s="850" t="s">
        <v>838</v>
      </c>
      <c r="H114" s="876">
        <f>ROUND(135000/3,0)</f>
        <v>45000</v>
      </c>
      <c r="I114" s="853">
        <f t="shared" si="3"/>
        <v>270000</v>
      </c>
      <c r="K114" s="839"/>
      <c r="M114" s="839"/>
    </row>
    <row r="115" spans="2:13" ht="14.45" customHeight="1" outlineLevel="1">
      <c r="B115" s="1486"/>
      <c r="C115" s="1461"/>
      <c r="D115" s="1464"/>
      <c r="E115" s="856" t="s">
        <v>944</v>
      </c>
      <c r="F115" s="874">
        <v>1</v>
      </c>
      <c r="G115" s="850" t="s">
        <v>838</v>
      </c>
      <c r="H115" s="890">
        <v>134900</v>
      </c>
      <c r="I115" s="853">
        <f t="shared" si="3"/>
        <v>134900</v>
      </c>
      <c r="K115" s="839"/>
      <c r="M115" s="839"/>
    </row>
    <row r="116" spans="2:13" ht="33.75" outlineLevel="1">
      <c r="B116" s="1486"/>
      <c r="C116" s="1461"/>
      <c r="D116" s="1464"/>
      <c r="E116" s="849" t="s">
        <v>945</v>
      </c>
      <c r="F116" s="874">
        <v>6</v>
      </c>
      <c r="G116" s="850" t="s">
        <v>917</v>
      </c>
      <c r="H116" s="890">
        <v>8500</v>
      </c>
      <c r="I116" s="853">
        <f t="shared" si="3"/>
        <v>51000</v>
      </c>
      <c r="K116" s="839"/>
      <c r="M116" s="839"/>
    </row>
    <row r="117" spans="2:13" ht="22.5" outlineLevel="1">
      <c r="B117" s="1486"/>
      <c r="C117" s="1461"/>
      <c r="D117" s="1464"/>
      <c r="E117" s="856" t="s">
        <v>946</v>
      </c>
      <c r="F117" s="874">
        <v>1</v>
      </c>
      <c r="G117" s="850" t="s">
        <v>838</v>
      </c>
      <c r="H117" s="890">
        <f>ROUND(357000/3,0)</f>
        <v>119000</v>
      </c>
      <c r="I117" s="853">
        <f t="shared" si="3"/>
        <v>119000</v>
      </c>
      <c r="K117" s="839"/>
      <c r="M117" s="839"/>
    </row>
    <row r="118" spans="2:13" ht="22.5" outlineLevel="1">
      <c r="B118" s="1486"/>
      <c r="C118" s="1461"/>
      <c r="D118" s="1464"/>
      <c r="E118" s="849" t="s">
        <v>947</v>
      </c>
      <c r="F118" s="874">
        <f>3*3*4*4*8</f>
        <v>1152</v>
      </c>
      <c r="G118" s="850" t="s">
        <v>838</v>
      </c>
      <c r="H118" s="890">
        <f>ROUND(29900/50,0)</f>
        <v>598</v>
      </c>
      <c r="I118" s="853">
        <f t="shared" si="3"/>
        <v>688896</v>
      </c>
      <c r="K118" s="839"/>
      <c r="M118" s="839"/>
    </row>
    <row r="119" spans="2:13" ht="22.5" outlineLevel="1">
      <c r="B119" s="1486"/>
      <c r="C119" s="1461"/>
      <c r="D119" s="1464"/>
      <c r="E119" s="856" t="s">
        <v>948</v>
      </c>
      <c r="F119" s="874">
        <v>1</v>
      </c>
      <c r="G119" s="850" t="s">
        <v>762</v>
      </c>
      <c r="H119" s="853">
        <v>1000000</v>
      </c>
      <c r="I119" s="853">
        <f t="shared" si="3"/>
        <v>1000000</v>
      </c>
      <c r="K119" s="839"/>
      <c r="M119" s="839"/>
    </row>
    <row r="120" spans="2:13" ht="22.5" outlineLevel="1">
      <c r="B120" s="1486"/>
      <c r="C120" s="1461"/>
      <c r="D120" s="1464"/>
      <c r="E120" s="856" t="s">
        <v>949</v>
      </c>
      <c r="F120" s="874">
        <v>1</v>
      </c>
      <c r="G120" s="850" t="s">
        <v>762</v>
      </c>
      <c r="H120" s="853">
        <v>5000000</v>
      </c>
      <c r="I120" s="853">
        <f t="shared" si="3"/>
        <v>5000000</v>
      </c>
      <c r="K120" s="839"/>
      <c r="M120" s="839"/>
    </row>
    <row r="121" spans="2:13" ht="14.45" customHeight="1" outlineLevel="1">
      <c r="B121" s="1486"/>
      <c r="C121" s="1461"/>
      <c r="D121" s="1464"/>
      <c r="E121" s="849" t="s">
        <v>950</v>
      </c>
      <c r="F121" s="874">
        <v>1</v>
      </c>
      <c r="G121" s="850" t="s">
        <v>762</v>
      </c>
      <c r="H121" s="890">
        <v>1000000</v>
      </c>
      <c r="I121" s="853">
        <f t="shared" si="3"/>
        <v>1000000</v>
      </c>
      <c r="K121" s="839"/>
      <c r="M121" s="839"/>
    </row>
    <row r="122" spans="2:13" ht="22.15" customHeight="1" outlineLevel="1">
      <c r="B122" s="1486"/>
      <c r="C122" s="1461"/>
      <c r="D122" s="1464"/>
      <c r="E122" s="856" t="s">
        <v>951</v>
      </c>
      <c r="F122" s="913">
        <v>500</v>
      </c>
      <c r="G122" s="850" t="s">
        <v>838</v>
      </c>
      <c r="H122" s="890">
        <v>950</v>
      </c>
      <c r="I122" s="853">
        <f t="shared" si="3"/>
        <v>475000</v>
      </c>
      <c r="K122" s="839"/>
      <c r="M122" s="839"/>
    </row>
    <row r="123" spans="2:13" ht="22.5" outlineLevel="1">
      <c r="B123" s="1486"/>
      <c r="C123" s="1462"/>
      <c r="D123" s="1465"/>
      <c r="E123" s="856" t="s">
        <v>952</v>
      </c>
      <c r="F123" s="874">
        <v>1</v>
      </c>
      <c r="G123" s="850" t="s">
        <v>762</v>
      </c>
      <c r="H123" s="890">
        <v>450000</v>
      </c>
      <c r="I123" s="853">
        <f t="shared" si="3"/>
        <v>450000</v>
      </c>
      <c r="K123" s="839"/>
      <c r="M123" s="839"/>
    </row>
    <row r="124" spans="2:13" ht="14.45" customHeight="1" outlineLevel="1">
      <c r="B124" s="1486"/>
      <c r="C124" s="1467" t="s">
        <v>953</v>
      </c>
      <c r="D124" s="1469" t="s">
        <v>954</v>
      </c>
      <c r="E124" s="856" t="s">
        <v>955</v>
      </c>
      <c r="F124" s="874">
        <v>1</v>
      </c>
      <c r="G124" s="850" t="s">
        <v>838</v>
      </c>
      <c r="H124" s="890">
        <v>548590</v>
      </c>
      <c r="I124" s="853">
        <f t="shared" si="3"/>
        <v>548590</v>
      </c>
      <c r="K124" s="839"/>
      <c r="M124" s="839"/>
    </row>
    <row r="125" spans="2:13" ht="14.45" customHeight="1" outlineLevel="1">
      <c r="B125" s="1486"/>
      <c r="C125" s="1461"/>
      <c r="D125" s="1464"/>
      <c r="E125" s="856" t="s">
        <v>956</v>
      </c>
      <c r="F125" s="874">
        <v>1</v>
      </c>
      <c r="G125" s="850" t="s">
        <v>838</v>
      </c>
      <c r="H125" s="890">
        <f>ROUND(122707/3,0)</f>
        <v>40902</v>
      </c>
      <c r="I125" s="853">
        <f t="shared" si="3"/>
        <v>40902</v>
      </c>
      <c r="K125" s="839"/>
      <c r="M125" s="839"/>
    </row>
    <row r="126" spans="2:13" ht="14.45" customHeight="1" outlineLevel="1">
      <c r="B126" s="1486"/>
      <c r="C126" s="1461"/>
      <c r="D126" s="1464"/>
      <c r="E126" s="856" t="s">
        <v>957</v>
      </c>
      <c r="F126" s="874">
        <v>1</v>
      </c>
      <c r="G126" s="850" t="s">
        <v>838</v>
      </c>
      <c r="H126" s="867">
        <f>ROUND(71000/4,0)</f>
        <v>17750</v>
      </c>
      <c r="I126" s="853">
        <f t="shared" si="3"/>
        <v>17750</v>
      </c>
      <c r="K126" s="839"/>
      <c r="M126" s="839"/>
    </row>
    <row r="127" spans="2:13" ht="23.45" customHeight="1" outlineLevel="1">
      <c r="B127" s="1486"/>
      <c r="C127" s="1462"/>
      <c r="D127" s="1465"/>
      <c r="E127" s="856" t="s">
        <v>958</v>
      </c>
      <c r="F127" s="874">
        <v>1</v>
      </c>
      <c r="G127" s="850" t="s">
        <v>838</v>
      </c>
      <c r="H127" s="890">
        <v>600000</v>
      </c>
      <c r="I127" s="853">
        <f t="shared" si="3"/>
        <v>600000</v>
      </c>
      <c r="K127" s="839"/>
      <c r="M127" s="839"/>
    </row>
    <row r="128" spans="2:13" ht="14.45" customHeight="1" outlineLevel="1">
      <c r="B128" s="1486"/>
      <c r="C128" s="1467" t="s">
        <v>959</v>
      </c>
      <c r="D128" s="1469" t="s">
        <v>960</v>
      </c>
      <c r="E128" s="856" t="s">
        <v>961</v>
      </c>
      <c r="F128" s="874">
        <v>1</v>
      </c>
      <c r="G128" s="850" t="s">
        <v>762</v>
      </c>
      <c r="H128" s="890">
        <v>80000</v>
      </c>
      <c r="I128" s="853">
        <f t="shared" si="3"/>
        <v>80000</v>
      </c>
      <c r="K128" s="839"/>
      <c r="M128" s="839"/>
    </row>
    <row r="129" spans="2:13" ht="22.5" outlineLevel="1">
      <c r="B129" s="1486"/>
      <c r="C129" s="1461"/>
      <c r="D129" s="1464"/>
      <c r="E129" s="856" t="s">
        <v>962</v>
      </c>
      <c r="F129" s="874">
        <v>1</v>
      </c>
      <c r="G129" s="850" t="s">
        <v>762</v>
      </c>
      <c r="H129" s="890">
        <v>80000</v>
      </c>
      <c r="I129" s="853">
        <f t="shared" si="3"/>
        <v>80000</v>
      </c>
      <c r="K129" s="839"/>
      <c r="M129" s="839"/>
    </row>
    <row r="130" spans="2:13" ht="14.45" customHeight="1" outlineLevel="1">
      <c r="B130" s="1486"/>
      <c r="C130" s="1461"/>
      <c r="D130" s="1464"/>
      <c r="E130" s="856" t="s">
        <v>963</v>
      </c>
      <c r="F130" s="874">
        <v>500</v>
      </c>
      <c r="G130" s="850" t="s">
        <v>964</v>
      </c>
      <c r="H130" s="890">
        <f>80000/100</f>
        <v>800</v>
      </c>
      <c r="I130" s="853">
        <f t="shared" si="3"/>
        <v>400000</v>
      </c>
      <c r="K130" s="839"/>
      <c r="M130" s="839"/>
    </row>
    <row r="131" spans="2:13" ht="14.45" customHeight="1" outlineLevel="1">
      <c r="B131" s="1486"/>
      <c r="C131" s="1462"/>
      <c r="D131" s="1465"/>
      <c r="E131" s="856" t="s">
        <v>1059</v>
      </c>
      <c r="F131" s="874">
        <v>2</v>
      </c>
      <c r="G131" s="850" t="s">
        <v>838</v>
      </c>
      <c r="H131" s="890">
        <f>35090*1.19</f>
        <v>41757.1</v>
      </c>
      <c r="I131" s="853">
        <f t="shared" si="3"/>
        <v>83514</v>
      </c>
      <c r="K131" s="839"/>
      <c r="M131" s="839"/>
    </row>
    <row r="132" spans="2:13" ht="22.5" outlineLevel="1">
      <c r="B132" s="1486"/>
      <c r="C132" s="1466" t="s">
        <v>965</v>
      </c>
      <c r="D132" s="1468" t="s">
        <v>966</v>
      </c>
      <c r="E132" s="856" t="s">
        <v>967</v>
      </c>
      <c r="F132" s="874">
        <v>30</v>
      </c>
      <c r="G132" s="850" t="s">
        <v>838</v>
      </c>
      <c r="H132" s="890">
        <v>19400</v>
      </c>
      <c r="I132" s="853">
        <f t="shared" si="3"/>
        <v>582000</v>
      </c>
      <c r="K132" s="839"/>
      <c r="M132" s="839"/>
    </row>
    <row r="133" spans="2:13" ht="22.5" outlineLevel="1">
      <c r="B133" s="1486"/>
      <c r="C133" s="1466"/>
      <c r="D133" s="1468"/>
      <c r="E133" s="856" t="s">
        <v>968</v>
      </c>
      <c r="F133" s="874">
        <v>10</v>
      </c>
      <c r="G133" s="850" t="s">
        <v>969</v>
      </c>
      <c r="H133" s="890">
        <v>605900</v>
      </c>
      <c r="I133" s="853">
        <f t="shared" si="3"/>
        <v>6059000</v>
      </c>
      <c r="K133" s="839"/>
      <c r="M133" s="839"/>
    </row>
    <row r="134" spans="2:13" ht="33.75" outlineLevel="1">
      <c r="B134" s="1486"/>
      <c r="C134" s="1466"/>
      <c r="D134" s="1468"/>
      <c r="E134" s="849" t="s">
        <v>970</v>
      </c>
      <c r="F134" s="852">
        <v>0</v>
      </c>
      <c r="G134" s="850" t="s">
        <v>971</v>
      </c>
      <c r="H134" s="890">
        <v>4200000</v>
      </c>
      <c r="I134" s="853">
        <f t="shared" si="3"/>
        <v>0</v>
      </c>
      <c r="K134" s="839"/>
      <c r="M134" s="839"/>
    </row>
    <row r="135" spans="2:13" ht="22.5" outlineLevel="1">
      <c r="B135" s="1486"/>
      <c r="C135" s="1466"/>
      <c r="D135" s="1468"/>
      <c r="E135" s="856" t="s">
        <v>972</v>
      </c>
      <c r="F135" s="874">
        <v>30</v>
      </c>
      <c r="G135" s="850" t="s">
        <v>917</v>
      </c>
      <c r="H135" s="890">
        <v>19400</v>
      </c>
      <c r="I135" s="853">
        <f t="shared" si="3"/>
        <v>582000</v>
      </c>
      <c r="K135" s="839"/>
      <c r="M135" s="839"/>
    </row>
    <row r="136" spans="2:13" ht="14.45" customHeight="1" outlineLevel="1">
      <c r="B136" s="1486"/>
      <c r="C136" s="1466"/>
      <c r="D136" s="1468"/>
      <c r="E136" s="856" t="s">
        <v>973</v>
      </c>
      <c r="F136" s="852">
        <v>0</v>
      </c>
      <c r="G136" s="850" t="s">
        <v>917</v>
      </c>
      <c r="H136" s="853">
        <v>5000000</v>
      </c>
      <c r="I136" s="853">
        <f t="shared" si="3"/>
        <v>0</v>
      </c>
      <c r="K136" s="839"/>
      <c r="M136" s="839"/>
    </row>
    <row r="137" spans="2:13" ht="14.45" customHeight="1" outlineLevel="1">
      <c r="B137" s="1486"/>
      <c r="C137" s="1466"/>
      <c r="D137" s="1468"/>
      <c r="E137" s="856" t="s">
        <v>974</v>
      </c>
      <c r="F137" s="852">
        <v>0</v>
      </c>
      <c r="G137" s="850" t="s">
        <v>917</v>
      </c>
      <c r="H137" s="853">
        <v>5400000</v>
      </c>
      <c r="I137" s="853">
        <f t="shared" si="3"/>
        <v>0</v>
      </c>
      <c r="K137" s="839"/>
      <c r="M137" s="839"/>
    </row>
    <row r="138" spans="2:13" ht="14.45" customHeight="1" outlineLevel="1">
      <c r="B138" s="1486"/>
      <c r="C138" s="1466"/>
      <c r="D138" s="1468"/>
      <c r="E138" s="856" t="s">
        <v>975</v>
      </c>
      <c r="F138" s="852"/>
      <c r="G138" s="850" t="s">
        <v>917</v>
      </c>
      <c r="H138" s="853">
        <v>6400000</v>
      </c>
      <c r="I138" s="853">
        <f t="shared" si="3"/>
        <v>0</v>
      </c>
      <c r="K138" s="839"/>
      <c r="M138" s="839"/>
    </row>
    <row r="139" spans="2:13" ht="14.45" customHeight="1" outlineLevel="1">
      <c r="B139" s="1486"/>
      <c r="C139" s="1466"/>
      <c r="D139" s="1468"/>
      <c r="E139" s="856" t="s">
        <v>976</v>
      </c>
      <c r="F139" s="874">
        <v>20</v>
      </c>
      <c r="G139" s="850" t="s">
        <v>838</v>
      </c>
      <c r="H139" s="853">
        <v>40000</v>
      </c>
      <c r="I139" s="853">
        <f t="shared" si="3"/>
        <v>800000</v>
      </c>
      <c r="K139" s="839"/>
      <c r="M139" s="839"/>
    </row>
    <row r="140" spans="2:13" ht="14.45" customHeight="1" outlineLevel="1">
      <c r="B140" s="1486"/>
      <c r="C140" s="1466"/>
      <c r="D140" s="1468"/>
      <c r="E140" s="856" t="s">
        <v>977</v>
      </c>
      <c r="F140" s="874">
        <v>5</v>
      </c>
      <c r="G140" s="850" t="s">
        <v>838</v>
      </c>
      <c r="H140" s="891">
        <f>22500*1.19</f>
        <v>26775</v>
      </c>
      <c r="I140" s="853">
        <f t="shared" si="3"/>
        <v>133875</v>
      </c>
      <c r="K140" s="839"/>
      <c r="M140" s="839"/>
    </row>
    <row r="141" spans="2:13" ht="14.45" customHeight="1" outlineLevel="1">
      <c r="B141" s="1486"/>
      <c r="C141" s="1466"/>
      <c r="D141" s="1468"/>
      <c r="E141" s="856" t="s">
        <v>978</v>
      </c>
      <c r="F141" s="874">
        <v>1</v>
      </c>
      <c r="G141" s="850" t="s">
        <v>762</v>
      </c>
      <c r="H141" s="890">
        <v>80000</v>
      </c>
      <c r="I141" s="853">
        <f t="shared" si="3"/>
        <v>80000</v>
      </c>
      <c r="K141" s="839"/>
      <c r="M141" s="839"/>
    </row>
    <row r="142" spans="2:13" ht="22.15" customHeight="1" outlineLevel="1">
      <c r="B142" s="1486"/>
      <c r="C142" s="1466"/>
      <c r="D142" s="1468"/>
      <c r="E142" s="856" t="s">
        <v>979</v>
      </c>
      <c r="F142" s="874">
        <f>+PLAZO</f>
        <v>8</v>
      </c>
      <c r="G142" s="850" t="s">
        <v>980</v>
      </c>
      <c r="H142" s="890">
        <f>+'CALCULO AU'!D12</f>
        <v>1300000</v>
      </c>
      <c r="I142" s="853">
        <f t="shared" si="3"/>
        <v>10400000</v>
      </c>
      <c r="K142" s="892" t="s">
        <v>981</v>
      </c>
      <c r="M142" s="839"/>
    </row>
    <row r="143" spans="2:13" ht="22.5" outlineLevel="1">
      <c r="B143" s="1486"/>
      <c r="C143" s="1466" t="s">
        <v>982</v>
      </c>
      <c r="D143" s="1468" t="s">
        <v>983</v>
      </c>
      <c r="E143" s="856" t="s">
        <v>984</v>
      </c>
      <c r="F143" s="874">
        <v>2</v>
      </c>
      <c r="G143" s="850" t="s">
        <v>838</v>
      </c>
      <c r="H143" s="890">
        <v>130000</v>
      </c>
      <c r="I143" s="853">
        <f t="shared" si="3"/>
        <v>260000</v>
      </c>
      <c r="K143" s="839"/>
      <c r="M143" s="839"/>
    </row>
    <row r="144" spans="2:13" ht="22.5" outlineLevel="1">
      <c r="B144" s="1486"/>
      <c r="C144" s="1466"/>
      <c r="D144" s="1468"/>
      <c r="E144" s="856" t="s">
        <v>985</v>
      </c>
      <c r="F144" s="874">
        <v>1</v>
      </c>
      <c r="G144" s="850" t="s">
        <v>838</v>
      </c>
      <c r="H144" s="890">
        <v>130000</v>
      </c>
      <c r="I144" s="853">
        <f t="shared" si="3"/>
        <v>130000</v>
      </c>
      <c r="K144" s="839"/>
      <c r="M144" s="839"/>
    </row>
    <row r="145" spans="2:13" ht="22.5" outlineLevel="1">
      <c r="B145" s="1486"/>
      <c r="C145" s="1466" t="s">
        <v>986</v>
      </c>
      <c r="D145" s="1468" t="s">
        <v>987</v>
      </c>
      <c r="E145" s="856" t="s">
        <v>988</v>
      </c>
      <c r="F145" s="874">
        <v>1</v>
      </c>
      <c r="G145" s="850" t="s">
        <v>762</v>
      </c>
      <c r="H145" s="890">
        <v>400000</v>
      </c>
      <c r="I145" s="853">
        <f t="shared" si="3"/>
        <v>400000</v>
      </c>
      <c r="K145" s="839"/>
      <c r="M145" s="839"/>
    </row>
    <row r="146" spans="2:13" ht="14.45" customHeight="1" outlineLevel="1">
      <c r="B146" s="1486"/>
      <c r="C146" s="1466"/>
      <c r="D146" s="1468"/>
      <c r="E146" s="856" t="s">
        <v>989</v>
      </c>
      <c r="F146" s="874">
        <v>1</v>
      </c>
      <c r="G146" s="850" t="s">
        <v>762</v>
      </c>
      <c r="H146" s="890">
        <v>1200000</v>
      </c>
      <c r="I146" s="853">
        <f t="shared" si="3"/>
        <v>1200000</v>
      </c>
      <c r="K146" s="839"/>
      <c r="M146" s="839"/>
    </row>
    <row r="147" spans="2:13" ht="14.45" customHeight="1" outlineLevel="1">
      <c r="B147" s="1486"/>
      <c r="C147" s="1466"/>
      <c r="D147" s="1468"/>
      <c r="E147" s="856" t="s">
        <v>990</v>
      </c>
      <c r="F147" s="852"/>
      <c r="G147" s="850"/>
      <c r="H147" s="853"/>
      <c r="I147" s="853">
        <f t="shared" si="3"/>
        <v>0</v>
      </c>
      <c r="K147" s="839"/>
      <c r="M147" s="839"/>
    </row>
    <row r="148" spans="2:13" ht="14.45" customHeight="1" outlineLevel="1">
      <c r="B148" s="1486"/>
      <c r="C148" s="1466" t="s">
        <v>991</v>
      </c>
      <c r="D148" s="1468" t="s">
        <v>992</v>
      </c>
      <c r="E148" s="856" t="s">
        <v>993</v>
      </c>
      <c r="F148" s="874">
        <v>1</v>
      </c>
      <c r="G148" s="850" t="s">
        <v>762</v>
      </c>
      <c r="H148" s="890">
        <v>130000</v>
      </c>
      <c r="I148" s="853">
        <f t="shared" si="3"/>
        <v>130000</v>
      </c>
      <c r="K148" s="839"/>
      <c r="M148" s="839"/>
    </row>
    <row r="149" spans="2:13" ht="22.5" outlineLevel="1">
      <c r="B149" s="1486"/>
      <c r="C149" s="1466"/>
      <c r="D149" s="1468"/>
      <c r="E149" s="856" t="s">
        <v>994</v>
      </c>
      <c r="F149" s="874">
        <v>4</v>
      </c>
      <c r="G149" s="850" t="s">
        <v>969</v>
      </c>
      <c r="H149" s="891">
        <f>364438</f>
        <v>364438</v>
      </c>
      <c r="I149" s="853">
        <f t="shared" si="3"/>
        <v>1457752</v>
      </c>
      <c r="L149" s="823"/>
    </row>
    <row r="150" spans="2:13" ht="14.45" customHeight="1" outlineLevel="1" thickBot="1">
      <c r="B150" s="1486"/>
      <c r="C150" s="1467"/>
      <c r="D150" s="1469"/>
      <c r="E150" s="856" t="s">
        <v>995</v>
      </c>
      <c r="F150" s="874">
        <v>100</v>
      </c>
      <c r="G150" s="850" t="s">
        <v>838</v>
      </c>
      <c r="H150" s="891">
        <v>11250</v>
      </c>
      <c r="I150" s="853">
        <f t="shared" si="3"/>
        <v>1125000</v>
      </c>
      <c r="L150" s="823"/>
    </row>
    <row r="151" spans="2:13" ht="15.6" customHeight="1" thickBot="1">
      <c r="B151" s="1471" t="s">
        <v>996</v>
      </c>
      <c r="C151" s="1472"/>
      <c r="D151" s="1473"/>
      <c r="E151" s="1473"/>
      <c r="F151" s="1473"/>
      <c r="G151" s="1473"/>
      <c r="H151" s="1473"/>
      <c r="I151" s="893">
        <f>SUM(I106:I150)</f>
        <v>40324179</v>
      </c>
      <c r="K151" s="927">
        <f>+I151/PRESUPUESTO!$F$221</f>
        <v>6.631671860404531E-3</v>
      </c>
      <c r="L151" s="823"/>
    </row>
    <row r="152" spans="2:13" ht="12.6" customHeight="1" thickBot="1">
      <c r="B152" s="823"/>
      <c r="C152" s="823"/>
      <c r="D152" s="823"/>
      <c r="E152" s="823"/>
      <c r="F152" s="819"/>
      <c r="G152" s="823"/>
      <c r="H152" s="823"/>
      <c r="I152" s="823"/>
      <c r="L152" s="823"/>
    </row>
    <row r="153" spans="2:13" ht="18.600000000000001" customHeight="1" thickBot="1">
      <c r="B153" s="1474" t="s">
        <v>997</v>
      </c>
      <c r="C153" s="1475"/>
      <c r="D153" s="1476"/>
      <c r="E153" s="1476"/>
      <c r="F153" s="1476"/>
      <c r="G153" s="1476"/>
      <c r="H153" s="1476"/>
      <c r="I153" s="1477"/>
      <c r="L153" s="823"/>
    </row>
    <row r="154" spans="2:13" ht="18" customHeight="1" thickBot="1">
      <c r="B154" s="1457" t="s">
        <v>998</v>
      </c>
      <c r="C154" s="894"/>
      <c r="D154" s="895"/>
      <c r="E154" s="896" t="s">
        <v>833</v>
      </c>
      <c r="F154" s="897" t="s">
        <v>10</v>
      </c>
      <c r="G154" s="896" t="s">
        <v>9</v>
      </c>
      <c r="H154" s="898" t="s">
        <v>834</v>
      </c>
      <c r="I154" s="899" t="s">
        <v>105</v>
      </c>
      <c r="L154" s="823"/>
    </row>
    <row r="155" spans="2:13" ht="22.9" customHeight="1" outlineLevel="1">
      <c r="B155" s="1458"/>
      <c r="C155" s="1460" t="s">
        <v>999</v>
      </c>
      <c r="D155" s="1463" t="s">
        <v>1000</v>
      </c>
      <c r="E155" s="875" t="s">
        <v>1001</v>
      </c>
      <c r="F155" s="912">
        <v>3</v>
      </c>
      <c r="G155" s="847" t="s">
        <v>838</v>
      </c>
      <c r="H155" s="889">
        <f>ROUND(178500/3,0)</f>
        <v>59500</v>
      </c>
      <c r="I155" s="915">
        <f t="shared" ref="I155:I204" si="4">ROUND(F155*H155,0)</f>
        <v>178500</v>
      </c>
      <c r="K155" s="839"/>
    </row>
    <row r="156" spans="2:13" ht="22.9" customHeight="1" outlineLevel="1">
      <c r="B156" s="1458"/>
      <c r="C156" s="1461"/>
      <c r="D156" s="1464"/>
      <c r="E156" s="856" t="s">
        <v>1002</v>
      </c>
      <c r="F156" s="852">
        <v>0</v>
      </c>
      <c r="G156" s="850" t="s">
        <v>917</v>
      </c>
      <c r="H156" s="889">
        <f t="shared" ref="H156:H172" si="5">ROUND(178500/3,0)</f>
        <v>59500</v>
      </c>
      <c r="I156" s="900">
        <f t="shared" si="4"/>
        <v>0</v>
      </c>
      <c r="K156" s="839"/>
    </row>
    <row r="157" spans="2:13" ht="22.9" customHeight="1" outlineLevel="1">
      <c r="B157" s="1458"/>
      <c r="C157" s="1461"/>
      <c r="D157" s="1464"/>
      <c r="E157" s="856" t="s">
        <v>1003</v>
      </c>
      <c r="F157" s="874">
        <v>2</v>
      </c>
      <c r="G157" s="850" t="s">
        <v>917</v>
      </c>
      <c r="H157" s="889">
        <f t="shared" si="5"/>
        <v>59500</v>
      </c>
      <c r="I157" s="900">
        <f t="shared" si="4"/>
        <v>119000</v>
      </c>
      <c r="K157" s="839"/>
      <c r="M157" s="839"/>
    </row>
    <row r="158" spans="2:13" ht="22.9" customHeight="1" outlineLevel="1">
      <c r="B158" s="1458"/>
      <c r="C158" s="1461"/>
      <c r="D158" s="1464"/>
      <c r="E158" s="856" t="s">
        <v>1004</v>
      </c>
      <c r="F158" s="874">
        <v>2</v>
      </c>
      <c r="G158" s="850" t="s">
        <v>917</v>
      </c>
      <c r="H158" s="889">
        <f t="shared" si="5"/>
        <v>59500</v>
      </c>
      <c r="I158" s="900">
        <f t="shared" si="4"/>
        <v>119000</v>
      </c>
      <c r="K158" s="839"/>
      <c r="M158" s="839"/>
    </row>
    <row r="159" spans="2:13" ht="22.9" customHeight="1" outlineLevel="1">
      <c r="B159" s="1458"/>
      <c r="C159" s="1461"/>
      <c r="D159" s="1464"/>
      <c r="E159" s="856" t="s">
        <v>1005</v>
      </c>
      <c r="F159" s="852">
        <v>0</v>
      </c>
      <c r="G159" s="850" t="s">
        <v>917</v>
      </c>
      <c r="H159" s="889">
        <f t="shared" si="5"/>
        <v>59500</v>
      </c>
      <c r="I159" s="900">
        <f t="shared" si="4"/>
        <v>0</v>
      </c>
      <c r="K159" s="839"/>
      <c r="M159" s="839"/>
    </row>
    <row r="160" spans="2:13" ht="22.9" customHeight="1" outlineLevel="1">
      <c r="B160" s="1458"/>
      <c r="C160" s="1461"/>
      <c r="D160" s="1464"/>
      <c r="E160" s="856" t="s">
        <v>1006</v>
      </c>
      <c r="F160" s="852">
        <v>0</v>
      </c>
      <c r="G160" s="850" t="s">
        <v>917</v>
      </c>
      <c r="H160" s="889">
        <f t="shared" si="5"/>
        <v>59500</v>
      </c>
      <c r="I160" s="900">
        <f t="shared" si="4"/>
        <v>0</v>
      </c>
      <c r="K160" s="839"/>
      <c r="M160" s="839"/>
    </row>
    <row r="161" spans="2:13" ht="22.9" customHeight="1" outlineLevel="1">
      <c r="B161" s="1458"/>
      <c r="C161" s="1461"/>
      <c r="D161" s="1464"/>
      <c r="E161" s="856" t="s">
        <v>1007</v>
      </c>
      <c r="F161" s="874">
        <v>3</v>
      </c>
      <c r="G161" s="850" t="s">
        <v>917</v>
      </c>
      <c r="H161" s="889">
        <f t="shared" si="5"/>
        <v>59500</v>
      </c>
      <c r="I161" s="900">
        <f t="shared" si="4"/>
        <v>178500</v>
      </c>
      <c r="K161" s="839"/>
      <c r="M161" s="839"/>
    </row>
    <row r="162" spans="2:13" ht="22.9" customHeight="1" outlineLevel="1">
      <c r="B162" s="1458"/>
      <c r="C162" s="1461"/>
      <c r="D162" s="1464"/>
      <c r="E162" s="856" t="s">
        <v>1008</v>
      </c>
      <c r="F162" s="874">
        <v>3</v>
      </c>
      <c r="G162" s="850" t="s">
        <v>917</v>
      </c>
      <c r="H162" s="889">
        <f t="shared" si="5"/>
        <v>59500</v>
      </c>
      <c r="I162" s="900">
        <f t="shared" si="4"/>
        <v>178500</v>
      </c>
      <c r="K162" s="839"/>
      <c r="M162" s="839"/>
    </row>
    <row r="163" spans="2:13" ht="22.9" customHeight="1" outlineLevel="1">
      <c r="B163" s="1458"/>
      <c r="C163" s="1461"/>
      <c r="D163" s="1464"/>
      <c r="E163" s="856" t="s">
        <v>1009</v>
      </c>
      <c r="F163" s="852">
        <v>0</v>
      </c>
      <c r="G163" s="850" t="s">
        <v>917</v>
      </c>
      <c r="H163" s="889">
        <f t="shared" si="5"/>
        <v>59500</v>
      </c>
      <c r="I163" s="900">
        <f t="shared" si="4"/>
        <v>0</v>
      </c>
      <c r="K163" s="839"/>
      <c r="M163" s="839"/>
    </row>
    <row r="164" spans="2:13" ht="22.9" customHeight="1" outlineLevel="1">
      <c r="B164" s="1458"/>
      <c r="C164" s="1461"/>
      <c r="D164" s="1464"/>
      <c r="E164" s="856" t="s">
        <v>1010</v>
      </c>
      <c r="F164" s="874">
        <v>2</v>
      </c>
      <c r="G164" s="850" t="s">
        <v>917</v>
      </c>
      <c r="H164" s="889">
        <f t="shared" si="5"/>
        <v>59500</v>
      </c>
      <c r="I164" s="900">
        <f t="shared" si="4"/>
        <v>119000</v>
      </c>
      <c r="K164" s="839"/>
      <c r="M164" s="839"/>
    </row>
    <row r="165" spans="2:13" ht="22.9" customHeight="1" outlineLevel="1">
      <c r="B165" s="1458"/>
      <c r="C165" s="1461"/>
      <c r="D165" s="1464"/>
      <c r="E165" s="856" t="s">
        <v>1011</v>
      </c>
      <c r="F165" s="852">
        <v>0</v>
      </c>
      <c r="G165" s="850" t="s">
        <v>917</v>
      </c>
      <c r="H165" s="889">
        <f t="shared" si="5"/>
        <v>59500</v>
      </c>
      <c r="I165" s="900">
        <f t="shared" si="4"/>
        <v>0</v>
      </c>
      <c r="K165" s="839"/>
      <c r="M165" s="839"/>
    </row>
    <row r="166" spans="2:13" ht="22.9" customHeight="1" outlineLevel="1">
      <c r="B166" s="1458"/>
      <c r="C166" s="1461"/>
      <c r="D166" s="1464"/>
      <c r="E166" s="856" t="s">
        <v>1012</v>
      </c>
      <c r="F166" s="874">
        <v>2</v>
      </c>
      <c r="G166" s="850" t="s">
        <v>917</v>
      </c>
      <c r="H166" s="889">
        <f t="shared" si="5"/>
        <v>59500</v>
      </c>
      <c r="I166" s="900">
        <f t="shared" si="4"/>
        <v>119000</v>
      </c>
      <c r="K166" s="839"/>
      <c r="M166" s="839"/>
    </row>
    <row r="167" spans="2:13" ht="22.9" customHeight="1" outlineLevel="1">
      <c r="B167" s="1458"/>
      <c r="C167" s="1461"/>
      <c r="D167" s="1464"/>
      <c r="E167" s="856" t="s">
        <v>1013</v>
      </c>
      <c r="F167" s="852">
        <v>0</v>
      </c>
      <c r="G167" s="850" t="s">
        <v>917</v>
      </c>
      <c r="H167" s="889">
        <f t="shared" si="5"/>
        <v>59500</v>
      </c>
      <c r="I167" s="900">
        <f t="shared" si="4"/>
        <v>0</v>
      </c>
      <c r="K167" s="839"/>
      <c r="M167" s="839"/>
    </row>
    <row r="168" spans="2:13" ht="22.9" customHeight="1" outlineLevel="1">
      <c r="B168" s="1458"/>
      <c r="C168" s="1461"/>
      <c r="D168" s="1464"/>
      <c r="E168" s="856" t="s">
        <v>1014</v>
      </c>
      <c r="F168" s="852">
        <v>0</v>
      </c>
      <c r="G168" s="850" t="s">
        <v>917</v>
      </c>
      <c r="H168" s="889">
        <f t="shared" si="5"/>
        <v>59500</v>
      </c>
      <c r="I168" s="900">
        <f t="shared" si="4"/>
        <v>0</v>
      </c>
      <c r="K168" s="839"/>
      <c r="M168" s="839"/>
    </row>
    <row r="169" spans="2:13" ht="22.9" customHeight="1" outlineLevel="1">
      <c r="B169" s="1458"/>
      <c r="C169" s="1461"/>
      <c r="D169" s="1464"/>
      <c r="E169" s="856" t="s">
        <v>1015</v>
      </c>
      <c r="F169" s="874">
        <v>2</v>
      </c>
      <c r="G169" s="850" t="s">
        <v>917</v>
      </c>
      <c r="H169" s="889">
        <f t="shared" si="5"/>
        <v>59500</v>
      </c>
      <c r="I169" s="900">
        <f t="shared" si="4"/>
        <v>119000</v>
      </c>
      <c r="K169" s="839"/>
      <c r="M169" s="839"/>
    </row>
    <row r="170" spans="2:13" ht="22.9" customHeight="1" outlineLevel="1">
      <c r="B170" s="1458"/>
      <c r="C170" s="1461"/>
      <c r="D170" s="1464"/>
      <c r="E170" s="856" t="s">
        <v>1016</v>
      </c>
      <c r="F170" s="852">
        <v>0</v>
      </c>
      <c r="G170" s="850" t="s">
        <v>917</v>
      </c>
      <c r="H170" s="889">
        <f t="shared" si="5"/>
        <v>59500</v>
      </c>
      <c r="I170" s="900">
        <f t="shared" si="4"/>
        <v>0</v>
      </c>
      <c r="K170" s="839"/>
      <c r="M170" s="839"/>
    </row>
    <row r="171" spans="2:13" ht="22.9" customHeight="1" outlineLevel="1">
      <c r="B171" s="1458"/>
      <c r="C171" s="1461"/>
      <c r="D171" s="1464"/>
      <c r="E171" s="856" t="s">
        <v>1017</v>
      </c>
      <c r="F171" s="874">
        <v>2</v>
      </c>
      <c r="G171" s="850" t="s">
        <v>917</v>
      </c>
      <c r="H171" s="889">
        <f t="shared" si="5"/>
        <v>59500</v>
      </c>
      <c r="I171" s="900">
        <f t="shared" si="4"/>
        <v>119000</v>
      </c>
      <c r="K171" s="839"/>
      <c r="M171" s="839"/>
    </row>
    <row r="172" spans="2:13" ht="22.9" customHeight="1" outlineLevel="1">
      <c r="B172" s="1458"/>
      <c r="C172" s="1461"/>
      <c r="D172" s="1464"/>
      <c r="E172" s="856" t="s">
        <v>1018</v>
      </c>
      <c r="F172" s="874">
        <v>2</v>
      </c>
      <c r="G172" s="850" t="s">
        <v>917</v>
      </c>
      <c r="H172" s="889">
        <f t="shared" si="5"/>
        <v>59500</v>
      </c>
      <c r="I172" s="900">
        <f t="shared" si="4"/>
        <v>119000</v>
      </c>
      <c r="K172" s="839"/>
      <c r="M172" s="839"/>
    </row>
    <row r="173" spans="2:13" ht="22.9" customHeight="1" outlineLevel="1">
      <c r="B173" s="1458"/>
      <c r="C173" s="1461"/>
      <c r="D173" s="1464"/>
      <c r="E173" s="856" t="s">
        <v>1019</v>
      </c>
      <c r="F173" s="874">
        <v>6</v>
      </c>
      <c r="G173" s="850" t="s">
        <v>917</v>
      </c>
      <c r="H173" s="889">
        <f>ROUND(178330/3,0)</f>
        <v>59443</v>
      </c>
      <c r="I173" s="900">
        <f t="shared" si="4"/>
        <v>356658</v>
      </c>
      <c r="K173" s="839"/>
      <c r="M173" s="839"/>
    </row>
    <row r="174" spans="2:13" ht="33.75" outlineLevel="1">
      <c r="B174" s="1458"/>
      <c r="C174" s="1461"/>
      <c r="D174" s="1464"/>
      <c r="E174" s="856" t="s">
        <v>1020</v>
      </c>
      <c r="F174" s="874">
        <v>2</v>
      </c>
      <c r="G174" s="850" t="s">
        <v>917</v>
      </c>
      <c r="H174" s="889">
        <f>ROUND(429900/3,0)</f>
        <v>143300</v>
      </c>
      <c r="I174" s="900">
        <f t="shared" si="4"/>
        <v>286600</v>
      </c>
      <c r="K174" s="839"/>
      <c r="M174" s="839"/>
    </row>
    <row r="175" spans="2:13" ht="33.75" outlineLevel="1">
      <c r="B175" s="1458"/>
      <c r="C175" s="1461"/>
      <c r="D175" s="1464"/>
      <c r="E175" s="856" t="s">
        <v>1021</v>
      </c>
      <c r="F175" s="874">
        <v>2</v>
      </c>
      <c r="G175" s="850" t="s">
        <v>917</v>
      </c>
      <c r="H175" s="889">
        <f>ROUND(429900/3,0)</f>
        <v>143300</v>
      </c>
      <c r="I175" s="900">
        <f t="shared" si="4"/>
        <v>286600</v>
      </c>
      <c r="K175" s="839"/>
      <c r="M175" s="839"/>
    </row>
    <row r="176" spans="2:13" ht="22.5" outlineLevel="1">
      <c r="B176" s="1458"/>
      <c r="C176" s="1461"/>
      <c r="D176" s="1464"/>
      <c r="E176" s="856" t="s">
        <v>1022</v>
      </c>
      <c r="F176" s="874">
        <v>2</v>
      </c>
      <c r="G176" s="850" t="s">
        <v>917</v>
      </c>
      <c r="H176" s="853">
        <v>163858</v>
      </c>
      <c r="I176" s="900">
        <f t="shared" si="4"/>
        <v>327716</v>
      </c>
      <c r="K176" s="839"/>
      <c r="M176" s="839"/>
    </row>
    <row r="177" spans="2:13" ht="22.5" outlineLevel="1">
      <c r="B177" s="1458"/>
      <c r="C177" s="1461"/>
      <c r="D177" s="1464"/>
      <c r="E177" s="856" t="s">
        <v>1023</v>
      </c>
      <c r="F177" s="852">
        <v>0</v>
      </c>
      <c r="G177" s="850" t="s">
        <v>917</v>
      </c>
      <c r="H177" s="853">
        <v>163858</v>
      </c>
      <c r="I177" s="900">
        <f t="shared" si="4"/>
        <v>0</v>
      </c>
      <c r="K177" s="839"/>
      <c r="M177" s="839"/>
    </row>
    <row r="178" spans="2:13" ht="22.5" outlineLevel="1">
      <c r="B178" s="1458"/>
      <c r="C178" s="1461"/>
      <c r="D178" s="1464"/>
      <c r="E178" s="856" t="s">
        <v>1024</v>
      </c>
      <c r="F178" s="852">
        <v>0</v>
      </c>
      <c r="G178" s="850" t="s">
        <v>917</v>
      </c>
      <c r="H178" s="853">
        <v>163858</v>
      </c>
      <c r="I178" s="900">
        <f t="shared" si="4"/>
        <v>0</v>
      </c>
      <c r="K178" s="839"/>
      <c r="L178" s="901"/>
      <c r="M178" s="839"/>
    </row>
    <row r="179" spans="2:13" ht="22.9" customHeight="1" outlineLevel="1">
      <c r="B179" s="1458"/>
      <c r="C179" s="1461"/>
      <c r="D179" s="1464"/>
      <c r="E179" s="856" t="s">
        <v>1025</v>
      </c>
      <c r="F179" s="874">
        <v>25</v>
      </c>
      <c r="G179" s="850" t="s">
        <v>917</v>
      </c>
      <c r="H179" s="890">
        <f>ROUND(495000/3,0)</f>
        <v>165000</v>
      </c>
      <c r="I179" s="900">
        <f t="shared" si="4"/>
        <v>4125000</v>
      </c>
      <c r="K179" s="839"/>
      <c r="M179" s="839"/>
    </row>
    <row r="180" spans="2:13" ht="14.45" customHeight="1" outlineLevel="1">
      <c r="B180" s="1458"/>
      <c r="C180" s="1461"/>
      <c r="D180" s="1464"/>
      <c r="E180" s="856" t="s">
        <v>1026</v>
      </c>
      <c r="F180" s="902">
        <v>0</v>
      </c>
      <c r="G180" s="850" t="s">
        <v>917</v>
      </c>
      <c r="H180" s="900">
        <v>30000</v>
      </c>
      <c r="I180" s="900">
        <f t="shared" si="4"/>
        <v>0</v>
      </c>
      <c r="K180" s="839"/>
      <c r="M180" s="839"/>
    </row>
    <row r="181" spans="2:13" ht="14.45" customHeight="1" outlineLevel="1">
      <c r="B181" s="1458"/>
      <c r="C181" s="1461"/>
      <c r="D181" s="1464"/>
      <c r="E181" s="856" t="s">
        <v>1027</v>
      </c>
      <c r="F181" s="903">
        <v>6</v>
      </c>
      <c r="G181" s="850" t="s">
        <v>917</v>
      </c>
      <c r="H181" s="890">
        <f>ROUND(109900/3,0)</f>
        <v>36633</v>
      </c>
      <c r="I181" s="900">
        <f t="shared" si="4"/>
        <v>219798</v>
      </c>
      <c r="K181" s="839"/>
      <c r="M181" s="839"/>
    </row>
    <row r="182" spans="2:13" ht="14.45" customHeight="1" outlineLevel="1">
      <c r="B182" s="1458"/>
      <c r="C182" s="1461"/>
      <c r="D182" s="1464"/>
      <c r="E182" s="856" t="s">
        <v>1028</v>
      </c>
      <c r="F182" s="903">
        <v>2</v>
      </c>
      <c r="G182" s="850" t="s">
        <v>838</v>
      </c>
      <c r="H182" s="889">
        <f t="shared" ref="H182:H187" si="6">ROUND(178500/3,0)</f>
        <v>59500</v>
      </c>
      <c r="I182" s="900">
        <f t="shared" si="4"/>
        <v>119000</v>
      </c>
      <c r="K182" s="839"/>
      <c r="M182" s="839"/>
    </row>
    <row r="183" spans="2:13" ht="14.45" customHeight="1" outlineLevel="1">
      <c r="B183" s="1458"/>
      <c r="C183" s="1461"/>
      <c r="D183" s="1464"/>
      <c r="E183" s="856" t="s">
        <v>1029</v>
      </c>
      <c r="F183" s="903">
        <v>2</v>
      </c>
      <c r="G183" s="850" t="s">
        <v>838</v>
      </c>
      <c r="H183" s="889">
        <f t="shared" si="6"/>
        <v>59500</v>
      </c>
      <c r="I183" s="900">
        <f t="shared" si="4"/>
        <v>119000</v>
      </c>
      <c r="K183" s="839"/>
      <c r="M183" s="839"/>
    </row>
    <row r="184" spans="2:13" ht="14.45" customHeight="1" outlineLevel="1">
      <c r="B184" s="1458"/>
      <c r="C184" s="1461"/>
      <c r="D184" s="1464"/>
      <c r="E184" s="856" t="s">
        <v>1030</v>
      </c>
      <c r="F184" s="903">
        <v>2</v>
      </c>
      <c r="G184" s="850" t="s">
        <v>838</v>
      </c>
      <c r="H184" s="889">
        <f t="shared" si="6"/>
        <v>59500</v>
      </c>
      <c r="I184" s="900">
        <f t="shared" si="4"/>
        <v>119000</v>
      </c>
      <c r="K184" s="839"/>
      <c r="M184" s="839"/>
    </row>
    <row r="185" spans="2:13" ht="14.45" customHeight="1" outlineLevel="1">
      <c r="B185" s="1458"/>
      <c r="C185" s="1461"/>
      <c r="D185" s="1464"/>
      <c r="E185" s="856" t="s">
        <v>1031</v>
      </c>
      <c r="F185" s="902"/>
      <c r="G185" s="850" t="s">
        <v>838</v>
      </c>
      <c r="H185" s="853"/>
      <c r="I185" s="900">
        <f t="shared" si="4"/>
        <v>0</v>
      </c>
      <c r="K185" s="839"/>
      <c r="M185" s="839"/>
    </row>
    <row r="186" spans="2:13" ht="14.45" customHeight="1" outlineLevel="1">
      <c r="B186" s="1458"/>
      <c r="C186" s="1461"/>
      <c r="D186" s="1464"/>
      <c r="E186" s="856" t="s">
        <v>1032</v>
      </c>
      <c r="F186" s="903">
        <v>1</v>
      </c>
      <c r="G186" s="850" t="s">
        <v>838</v>
      </c>
      <c r="H186" s="889">
        <f t="shared" si="6"/>
        <v>59500</v>
      </c>
      <c r="I186" s="900">
        <f t="shared" si="4"/>
        <v>59500</v>
      </c>
      <c r="K186" s="839"/>
      <c r="M186" s="839"/>
    </row>
    <row r="187" spans="2:13" ht="14.45" customHeight="1" outlineLevel="1">
      <c r="B187" s="1458"/>
      <c r="C187" s="1461"/>
      <c r="D187" s="1464"/>
      <c r="E187" s="856" t="s">
        <v>1033</v>
      </c>
      <c r="F187" s="903">
        <v>1</v>
      </c>
      <c r="G187" s="850" t="s">
        <v>838</v>
      </c>
      <c r="H187" s="889">
        <f t="shared" si="6"/>
        <v>59500</v>
      </c>
      <c r="I187" s="900">
        <f t="shared" si="4"/>
        <v>59500</v>
      </c>
      <c r="K187" s="839"/>
      <c r="M187" s="839"/>
    </row>
    <row r="188" spans="2:13" ht="14.45" customHeight="1" outlineLevel="1">
      <c r="B188" s="1458"/>
      <c r="C188" s="1461"/>
      <c r="D188" s="1464"/>
      <c r="E188" s="856" t="s">
        <v>1034</v>
      </c>
      <c r="F188" s="902">
        <v>0</v>
      </c>
      <c r="G188" s="850" t="s">
        <v>838</v>
      </c>
      <c r="H188" s="889">
        <f>ROUND(178500/3,0)</f>
        <v>59500</v>
      </c>
      <c r="I188" s="900">
        <f t="shared" ref="I188" si="7">ROUND(F188*H188,0)</f>
        <v>0</v>
      </c>
      <c r="K188" s="839"/>
      <c r="M188" s="839"/>
    </row>
    <row r="189" spans="2:13" ht="14.45" customHeight="1" outlineLevel="1">
      <c r="B189" s="1458"/>
      <c r="C189" s="1461"/>
      <c r="D189" s="1464"/>
      <c r="E189" s="856" t="s">
        <v>1056</v>
      </c>
      <c r="F189" s="903">
        <v>5</v>
      </c>
      <c r="G189" s="850" t="s">
        <v>838</v>
      </c>
      <c r="H189" s="890">
        <f>18900*1.19</f>
        <v>22491</v>
      </c>
      <c r="I189" s="900">
        <f t="shared" si="4"/>
        <v>112455</v>
      </c>
      <c r="K189" s="839"/>
      <c r="M189" s="839"/>
    </row>
    <row r="190" spans="2:13" ht="14.45" customHeight="1" outlineLevel="1">
      <c r="B190" s="1458"/>
      <c r="C190" s="1461"/>
      <c r="D190" s="1464"/>
      <c r="E190" s="856" t="s">
        <v>1035</v>
      </c>
      <c r="F190" s="903">
        <v>1</v>
      </c>
      <c r="G190" s="850" t="s">
        <v>969</v>
      </c>
      <c r="H190" s="890">
        <f>364438</f>
        <v>364438</v>
      </c>
      <c r="I190" s="900">
        <f t="shared" si="4"/>
        <v>364438</v>
      </c>
      <c r="K190" s="839"/>
      <c r="M190" s="839"/>
    </row>
    <row r="191" spans="2:13" ht="14.45" customHeight="1" outlineLevel="1">
      <c r="B191" s="1458"/>
      <c r="C191" s="1461"/>
      <c r="D191" s="1464"/>
      <c r="E191" s="856" t="s">
        <v>1036</v>
      </c>
      <c r="F191" s="902"/>
      <c r="G191" s="850" t="s">
        <v>969</v>
      </c>
      <c r="H191" s="890">
        <v>690000</v>
      </c>
      <c r="I191" s="900">
        <f t="shared" si="4"/>
        <v>0</v>
      </c>
      <c r="K191" s="839"/>
      <c r="M191" s="839"/>
    </row>
    <row r="192" spans="2:13" ht="14.45" customHeight="1" outlineLevel="1">
      <c r="B192" s="1458"/>
      <c r="C192" s="1461"/>
      <c r="D192" s="1464"/>
      <c r="E192" s="856" t="s">
        <v>977</v>
      </c>
      <c r="F192" s="903">
        <v>20</v>
      </c>
      <c r="G192" s="850" t="s">
        <v>917</v>
      </c>
      <c r="H192" s="891">
        <f>22500*1.19</f>
        <v>26775</v>
      </c>
      <c r="I192" s="900">
        <f t="shared" si="4"/>
        <v>535500</v>
      </c>
      <c r="K192" s="839"/>
      <c r="M192" s="839"/>
    </row>
    <row r="193" spans="2:16" ht="14.45" customHeight="1" outlineLevel="1">
      <c r="B193" s="1458"/>
      <c r="C193" s="1461"/>
      <c r="D193" s="1464"/>
      <c r="E193" s="856" t="s">
        <v>1037</v>
      </c>
      <c r="F193" s="903">
        <v>10</v>
      </c>
      <c r="G193" s="850" t="s">
        <v>917</v>
      </c>
      <c r="H193" s="904">
        <f>8700*1.19</f>
        <v>10353</v>
      </c>
      <c r="I193" s="900">
        <f t="shared" si="4"/>
        <v>103530</v>
      </c>
      <c r="K193" s="839"/>
      <c r="M193" s="839"/>
    </row>
    <row r="194" spans="2:16" ht="14.45" customHeight="1" outlineLevel="1">
      <c r="B194" s="1458"/>
      <c r="C194" s="1461"/>
      <c r="D194" s="1464"/>
      <c r="E194" s="856" t="s">
        <v>1038</v>
      </c>
      <c r="F194" s="903">
        <v>4</v>
      </c>
      <c r="G194" s="850" t="s">
        <v>917</v>
      </c>
      <c r="H194" s="904">
        <f>6500*1.19</f>
        <v>7735</v>
      </c>
      <c r="I194" s="900">
        <f t="shared" si="4"/>
        <v>30940</v>
      </c>
      <c r="K194" s="839"/>
      <c r="M194" s="839"/>
    </row>
    <row r="195" spans="2:16" ht="14.45" customHeight="1" outlineLevel="1">
      <c r="B195" s="1458"/>
      <c r="C195" s="1461"/>
      <c r="D195" s="1464"/>
      <c r="E195" s="856" t="s">
        <v>1039</v>
      </c>
      <c r="F195" s="903">
        <v>8</v>
      </c>
      <c r="G195" s="850" t="s">
        <v>838</v>
      </c>
      <c r="H195" s="904">
        <v>83062</v>
      </c>
      <c r="I195" s="900">
        <f t="shared" si="4"/>
        <v>664496</v>
      </c>
      <c r="K195" s="839"/>
      <c r="M195" s="839"/>
    </row>
    <row r="196" spans="2:16" ht="22.5" outlineLevel="1">
      <c r="B196" s="1458"/>
      <c r="C196" s="1462"/>
      <c r="D196" s="1465"/>
      <c r="E196" s="916" t="s">
        <v>1040</v>
      </c>
      <c r="F196" s="903">
        <v>6</v>
      </c>
      <c r="G196" s="850" t="s">
        <v>838</v>
      </c>
      <c r="H196" s="904">
        <v>200000</v>
      </c>
      <c r="I196" s="900">
        <f t="shared" si="4"/>
        <v>1200000</v>
      </c>
      <c r="K196" s="839"/>
      <c r="M196" s="839"/>
    </row>
    <row r="197" spans="2:16" ht="14.45" customHeight="1" outlineLevel="1">
      <c r="B197" s="1458"/>
      <c r="C197" s="1466" t="s">
        <v>1041</v>
      </c>
      <c r="D197" s="1468" t="s">
        <v>1042</v>
      </c>
      <c r="E197" s="856" t="s">
        <v>1043</v>
      </c>
      <c r="F197" s="903">
        <f>ROUND(+PLAZO/4,0)</f>
        <v>2</v>
      </c>
      <c r="G197" s="850" t="s">
        <v>917</v>
      </c>
      <c r="H197" s="904">
        <v>1000000</v>
      </c>
      <c r="I197" s="900">
        <f t="shared" si="4"/>
        <v>2000000</v>
      </c>
      <c r="K197" s="839"/>
      <c r="M197" s="839"/>
    </row>
    <row r="198" spans="2:16" ht="14.45" customHeight="1" outlineLevel="1">
      <c r="B198" s="1458"/>
      <c r="C198" s="1466"/>
      <c r="D198" s="1468"/>
      <c r="E198" s="856" t="s">
        <v>1044</v>
      </c>
      <c r="F198" s="903">
        <v>6</v>
      </c>
      <c r="G198" s="850" t="s">
        <v>917</v>
      </c>
      <c r="H198" s="904">
        <v>8092</v>
      </c>
      <c r="I198" s="900">
        <f t="shared" si="4"/>
        <v>48552</v>
      </c>
      <c r="K198" s="839"/>
      <c r="M198" s="839"/>
    </row>
    <row r="199" spans="2:16" ht="14.45" customHeight="1" outlineLevel="1">
      <c r="B199" s="1458"/>
      <c r="C199" s="1466"/>
      <c r="D199" s="1468"/>
      <c r="E199" s="856" t="s">
        <v>1045</v>
      </c>
      <c r="F199" s="903">
        <v>2</v>
      </c>
      <c r="G199" s="850" t="s">
        <v>719</v>
      </c>
      <c r="H199" s="904">
        <f>1462000*2</f>
        <v>2924000</v>
      </c>
      <c r="I199" s="900">
        <f t="shared" si="4"/>
        <v>5848000</v>
      </c>
      <c r="K199" s="839"/>
      <c r="M199" s="839"/>
    </row>
    <row r="200" spans="2:16" ht="14.45" customHeight="1" outlineLevel="1">
      <c r="B200" s="1458"/>
      <c r="C200" s="1466"/>
      <c r="D200" s="1468"/>
      <c r="E200" s="856" t="s">
        <v>1046</v>
      </c>
      <c r="F200" s="902">
        <v>0</v>
      </c>
      <c r="G200" s="850" t="s">
        <v>917</v>
      </c>
      <c r="H200" s="904">
        <v>2500000</v>
      </c>
      <c r="I200" s="900">
        <f t="shared" si="4"/>
        <v>0</v>
      </c>
      <c r="K200" s="839"/>
      <c r="M200" s="839"/>
    </row>
    <row r="201" spans="2:16" ht="22.5" outlineLevel="1">
      <c r="B201" s="1458"/>
      <c r="C201" s="1466"/>
      <c r="D201" s="1468"/>
      <c r="E201" s="856" t="s">
        <v>1047</v>
      </c>
      <c r="F201" s="903">
        <v>2</v>
      </c>
      <c r="G201" s="850" t="s">
        <v>917</v>
      </c>
      <c r="H201" s="904">
        <v>429000</v>
      </c>
      <c r="I201" s="900">
        <f t="shared" si="4"/>
        <v>858000</v>
      </c>
      <c r="K201" s="839"/>
      <c r="M201" s="839"/>
    </row>
    <row r="202" spans="2:16" ht="14.45" customHeight="1" outlineLevel="1">
      <c r="B202" s="1458"/>
      <c r="C202" s="1467"/>
      <c r="D202" s="1469" t="s">
        <v>1048</v>
      </c>
      <c r="E202" s="917" t="s">
        <v>1049</v>
      </c>
      <c r="F202" s="905">
        <v>0</v>
      </c>
      <c r="G202" s="855" t="s">
        <v>971</v>
      </c>
      <c r="H202" s="925">
        <v>2400000</v>
      </c>
      <c r="I202" s="906">
        <f t="shared" si="4"/>
        <v>0</v>
      </c>
      <c r="K202" s="839"/>
      <c r="M202" s="839"/>
    </row>
    <row r="203" spans="2:16" ht="14.45" customHeight="1" outlineLevel="1">
      <c r="B203" s="1458"/>
      <c r="C203" s="1467"/>
      <c r="D203" s="1464"/>
      <c r="E203" s="916" t="s">
        <v>1050</v>
      </c>
      <c r="F203" s="926">
        <v>1</v>
      </c>
      <c r="G203" s="855" t="s">
        <v>838</v>
      </c>
      <c r="H203" s="925">
        <v>2200000</v>
      </c>
      <c r="I203" s="906">
        <f t="shared" si="4"/>
        <v>2200000</v>
      </c>
    </row>
    <row r="204" spans="2:16" ht="23.25" outlineLevel="1" thickBot="1">
      <c r="B204" s="1459"/>
      <c r="C204" s="1467"/>
      <c r="D204" s="1470"/>
      <c r="E204" s="918" t="s">
        <v>1051</v>
      </c>
      <c r="F204" s="905">
        <v>0</v>
      </c>
      <c r="G204" s="919" t="s">
        <v>971</v>
      </c>
      <c r="H204" s="925">
        <v>1980000</v>
      </c>
      <c r="I204" s="906">
        <f t="shared" si="4"/>
        <v>0</v>
      </c>
    </row>
    <row r="205" spans="2:16" ht="15.6" customHeight="1" thickBot="1">
      <c r="B205" s="1454" t="s">
        <v>1052</v>
      </c>
      <c r="C205" s="1455"/>
      <c r="D205" s="1456"/>
      <c r="E205" s="1456"/>
      <c r="F205" s="1456"/>
      <c r="G205" s="1456"/>
      <c r="H205" s="1456"/>
      <c r="I205" s="907">
        <f>SUM(I155:I204)</f>
        <v>21412783</v>
      </c>
      <c r="K205" s="927">
        <f>+I205/PRESUPUESTO!$F$221</f>
        <v>3.521523661375685E-3</v>
      </c>
    </row>
    <row r="206" spans="2:16" ht="12.6" customHeight="1" thickBot="1">
      <c r="B206" s="823"/>
      <c r="C206" s="823"/>
      <c r="D206" s="823"/>
      <c r="E206" s="823"/>
      <c r="F206" s="819"/>
      <c r="G206" s="823"/>
      <c r="H206" s="823"/>
      <c r="I206" s="823"/>
      <c r="L206" s="839"/>
    </row>
    <row r="207" spans="2:16" s="839" customFormat="1" ht="16.149999999999999" customHeight="1" thickBot="1">
      <c r="B207" s="1450" t="s">
        <v>1053</v>
      </c>
      <c r="C207" s="1451"/>
      <c r="D207" s="1452"/>
      <c r="E207" s="1452"/>
      <c r="F207" s="1452"/>
      <c r="G207" s="1452"/>
      <c r="H207" s="1453"/>
      <c r="I207" s="908">
        <f>+I35+I102+I151+I205</f>
        <v>166878641</v>
      </c>
      <c r="K207" s="823"/>
      <c r="L207" s="824"/>
      <c r="M207" s="823"/>
      <c r="N207" s="823"/>
      <c r="O207" s="823"/>
      <c r="P207" s="823"/>
    </row>
    <row r="208" spans="2:16">
      <c r="B208" s="823"/>
      <c r="C208" s="823"/>
      <c r="D208" s="823"/>
      <c r="E208" s="823"/>
      <c r="F208" s="823"/>
      <c r="G208" s="823"/>
      <c r="H208" s="823"/>
      <c r="I208" s="823"/>
    </row>
  </sheetData>
  <mergeCells count="51">
    <mergeCell ref="B2:I7"/>
    <mergeCell ref="C9:I9"/>
    <mergeCell ref="B11:C11"/>
    <mergeCell ref="B12:C12"/>
    <mergeCell ref="B13:C13"/>
    <mergeCell ref="B14:C14"/>
    <mergeCell ref="C25:C31"/>
    <mergeCell ref="D25:D31"/>
    <mergeCell ref="B35:H35"/>
    <mergeCell ref="B37:I37"/>
    <mergeCell ref="B15:C15"/>
    <mergeCell ref="B16:C16"/>
    <mergeCell ref="B20:I20"/>
    <mergeCell ref="B21:B34"/>
    <mergeCell ref="C22:C24"/>
    <mergeCell ref="D22:D24"/>
    <mergeCell ref="B38:B101"/>
    <mergeCell ref="C39:C101"/>
    <mergeCell ref="D39:D42"/>
    <mergeCell ref="D43:D67"/>
    <mergeCell ref="D68:D90"/>
    <mergeCell ref="D91:D101"/>
    <mergeCell ref="B102:H102"/>
    <mergeCell ref="B104:I104"/>
    <mergeCell ref="B105:B150"/>
    <mergeCell ref="C106:C112"/>
    <mergeCell ref="D106:D112"/>
    <mergeCell ref="C113:C123"/>
    <mergeCell ref="D113:D123"/>
    <mergeCell ref="C124:C127"/>
    <mergeCell ref="D124:D127"/>
    <mergeCell ref="C128:C131"/>
    <mergeCell ref="D128:D131"/>
    <mergeCell ref="C132:C142"/>
    <mergeCell ref="D132:D142"/>
    <mergeCell ref="C143:C144"/>
    <mergeCell ref="D143:D144"/>
    <mergeCell ref="C145:C147"/>
    <mergeCell ref="D145:D147"/>
    <mergeCell ref="C148:C150"/>
    <mergeCell ref="D148:D150"/>
    <mergeCell ref="B151:H151"/>
    <mergeCell ref="B153:I153"/>
    <mergeCell ref="B207:H207"/>
    <mergeCell ref="B205:H205"/>
    <mergeCell ref="B154:B204"/>
    <mergeCell ref="C155:C196"/>
    <mergeCell ref="D155:D196"/>
    <mergeCell ref="C197:C204"/>
    <mergeCell ref="D197:D201"/>
    <mergeCell ref="D202:D204"/>
  </mergeCells>
  <conditionalFormatting sqref="N8:N9 M10 J11:J18 N19:N101 N103:N149 N157:N202 N218:N1048576">
    <cfRule type="cellIs" dxfId="1" priority="1" operator="greaterThan">
      <formula>0</formula>
    </cfRule>
    <cfRule type="cellIs" dxfId="0" priority="2" operator="lessThan">
      <formula>0</formula>
    </cfRule>
  </conditionalFormatting>
  <dataValidations count="1">
    <dataValidation type="list" allowBlank="1" showInputMessage="1" showErrorMessage="1" sqref="D15" xr:uid="{66B7D79C-C84A-4341-BE0C-F23FE43B73AC}">
      <formula1>#REF!</formula1>
    </dataValidation>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79998168889431442"/>
  </sheetPr>
  <dimension ref="A1:K228"/>
  <sheetViews>
    <sheetView view="pageBreakPreview" zoomScale="145" zoomScaleNormal="100" zoomScaleSheetLayoutView="145" workbookViewId="0">
      <selection activeCell="G227" sqref="G227"/>
    </sheetView>
  </sheetViews>
  <sheetFormatPr baseColWidth="10" defaultRowHeight="12.75"/>
  <cols>
    <col min="1" max="1" width="11.42578125" style="446"/>
    <col min="2" max="2" width="10.42578125" style="446" customWidth="1"/>
    <col min="3" max="3" width="13" style="446" customWidth="1"/>
    <col min="4" max="12" width="11.42578125" style="446"/>
    <col min="13" max="13" width="15.42578125" style="446" bestFit="1" customWidth="1"/>
    <col min="14" max="14" width="13.85546875" style="446" bestFit="1" customWidth="1"/>
    <col min="15" max="15" width="11.42578125" style="446"/>
    <col min="16" max="16" width="15.28515625" style="446" customWidth="1"/>
    <col min="17" max="259" width="11.42578125" style="446"/>
    <col min="260" max="260" width="10.42578125" style="446" customWidth="1"/>
    <col min="261" max="261" width="13" style="446" customWidth="1"/>
    <col min="262" max="515" width="11.42578125" style="446"/>
    <col min="516" max="516" width="10.42578125" style="446" customWidth="1"/>
    <col min="517" max="517" width="13" style="446" customWidth="1"/>
    <col min="518" max="771" width="11.42578125" style="446"/>
    <col min="772" max="772" width="10.42578125" style="446" customWidth="1"/>
    <col min="773" max="773" width="13" style="446" customWidth="1"/>
    <col min="774" max="1027" width="11.42578125" style="446"/>
    <col min="1028" max="1028" width="10.42578125" style="446" customWidth="1"/>
    <col min="1029" max="1029" width="13" style="446" customWidth="1"/>
    <col min="1030" max="1283" width="11.42578125" style="446"/>
    <col min="1284" max="1284" width="10.42578125" style="446" customWidth="1"/>
    <col min="1285" max="1285" width="13" style="446" customWidth="1"/>
    <col min="1286" max="1539" width="11.42578125" style="446"/>
    <col min="1540" max="1540" width="10.42578125" style="446" customWidth="1"/>
    <col min="1541" max="1541" width="13" style="446" customWidth="1"/>
    <col min="1542" max="1795" width="11.42578125" style="446"/>
    <col min="1796" max="1796" width="10.42578125" style="446" customWidth="1"/>
    <col min="1797" max="1797" width="13" style="446" customWidth="1"/>
    <col min="1798" max="2051" width="11.42578125" style="446"/>
    <col min="2052" max="2052" width="10.42578125" style="446" customWidth="1"/>
    <col min="2053" max="2053" width="13" style="446" customWidth="1"/>
    <col min="2054" max="2307" width="11.42578125" style="446"/>
    <col min="2308" max="2308" width="10.42578125" style="446" customWidth="1"/>
    <col min="2309" max="2309" width="13" style="446" customWidth="1"/>
    <col min="2310" max="2563" width="11.42578125" style="446"/>
    <col min="2564" max="2564" width="10.42578125" style="446" customWidth="1"/>
    <col min="2565" max="2565" width="13" style="446" customWidth="1"/>
    <col min="2566" max="2819" width="11.42578125" style="446"/>
    <col min="2820" max="2820" width="10.42578125" style="446" customWidth="1"/>
    <col min="2821" max="2821" width="13" style="446" customWidth="1"/>
    <col min="2822" max="3075" width="11.42578125" style="446"/>
    <col min="3076" max="3076" width="10.42578125" style="446" customWidth="1"/>
    <col min="3077" max="3077" width="13" style="446" customWidth="1"/>
    <col min="3078" max="3331" width="11.42578125" style="446"/>
    <col min="3332" max="3332" width="10.42578125" style="446" customWidth="1"/>
    <col min="3333" max="3333" width="13" style="446" customWidth="1"/>
    <col min="3334" max="3587" width="11.42578125" style="446"/>
    <col min="3588" max="3588" width="10.42578125" style="446" customWidth="1"/>
    <col min="3589" max="3589" width="13" style="446" customWidth="1"/>
    <col min="3590" max="3843" width="11.42578125" style="446"/>
    <col min="3844" max="3844" width="10.42578125" style="446" customWidth="1"/>
    <col min="3845" max="3845" width="13" style="446" customWidth="1"/>
    <col min="3846" max="4099" width="11.42578125" style="446"/>
    <col min="4100" max="4100" width="10.42578125" style="446" customWidth="1"/>
    <col min="4101" max="4101" width="13" style="446" customWidth="1"/>
    <col min="4102" max="4355" width="11.42578125" style="446"/>
    <col min="4356" max="4356" width="10.42578125" style="446" customWidth="1"/>
    <col min="4357" max="4357" width="13" style="446" customWidth="1"/>
    <col min="4358" max="4611" width="11.42578125" style="446"/>
    <col min="4612" max="4612" width="10.42578125" style="446" customWidth="1"/>
    <col min="4613" max="4613" width="13" style="446" customWidth="1"/>
    <col min="4614" max="4867" width="11.42578125" style="446"/>
    <col min="4868" max="4868" width="10.42578125" style="446" customWidth="1"/>
    <col min="4869" max="4869" width="13" style="446" customWidth="1"/>
    <col min="4870" max="5123" width="11.42578125" style="446"/>
    <col min="5124" max="5124" width="10.42578125" style="446" customWidth="1"/>
    <col min="5125" max="5125" width="13" style="446" customWidth="1"/>
    <col min="5126" max="5379" width="11.42578125" style="446"/>
    <col min="5380" max="5380" width="10.42578125" style="446" customWidth="1"/>
    <col min="5381" max="5381" width="13" style="446" customWidth="1"/>
    <col min="5382" max="5635" width="11.42578125" style="446"/>
    <col min="5636" max="5636" width="10.42578125" style="446" customWidth="1"/>
    <col min="5637" max="5637" width="13" style="446" customWidth="1"/>
    <col min="5638" max="5891" width="11.42578125" style="446"/>
    <col min="5892" max="5892" width="10.42578125" style="446" customWidth="1"/>
    <col min="5893" max="5893" width="13" style="446" customWidth="1"/>
    <col min="5894" max="6147" width="11.42578125" style="446"/>
    <col min="6148" max="6148" width="10.42578125" style="446" customWidth="1"/>
    <col min="6149" max="6149" width="13" style="446" customWidth="1"/>
    <col min="6150" max="6403" width="11.42578125" style="446"/>
    <col min="6404" max="6404" width="10.42578125" style="446" customWidth="1"/>
    <col min="6405" max="6405" width="13" style="446" customWidth="1"/>
    <col min="6406" max="6659" width="11.42578125" style="446"/>
    <col min="6660" max="6660" width="10.42578125" style="446" customWidth="1"/>
    <col min="6661" max="6661" width="13" style="446" customWidth="1"/>
    <col min="6662" max="6915" width="11.42578125" style="446"/>
    <col min="6916" max="6916" width="10.42578125" style="446" customWidth="1"/>
    <col min="6917" max="6917" width="13" style="446" customWidth="1"/>
    <col min="6918" max="7171" width="11.42578125" style="446"/>
    <col min="7172" max="7172" width="10.42578125" style="446" customWidth="1"/>
    <col min="7173" max="7173" width="13" style="446" customWidth="1"/>
    <col min="7174" max="7427" width="11.42578125" style="446"/>
    <col min="7428" max="7428" width="10.42578125" style="446" customWidth="1"/>
    <col min="7429" max="7429" width="13" style="446" customWidth="1"/>
    <col min="7430" max="7683" width="11.42578125" style="446"/>
    <col min="7684" max="7684" width="10.42578125" style="446" customWidth="1"/>
    <col min="7685" max="7685" width="13" style="446" customWidth="1"/>
    <col min="7686" max="7939" width="11.42578125" style="446"/>
    <col min="7940" max="7940" width="10.42578125" style="446" customWidth="1"/>
    <col min="7941" max="7941" width="13" style="446" customWidth="1"/>
    <col min="7942" max="8195" width="11.42578125" style="446"/>
    <col min="8196" max="8196" width="10.42578125" style="446" customWidth="1"/>
    <col min="8197" max="8197" width="13" style="446" customWidth="1"/>
    <col min="8198" max="8451" width="11.42578125" style="446"/>
    <col min="8452" max="8452" width="10.42578125" style="446" customWidth="1"/>
    <col min="8453" max="8453" width="13" style="446" customWidth="1"/>
    <col min="8454" max="8707" width="11.42578125" style="446"/>
    <col min="8708" max="8708" width="10.42578125" style="446" customWidth="1"/>
    <col min="8709" max="8709" width="13" style="446" customWidth="1"/>
    <col min="8710" max="8963" width="11.42578125" style="446"/>
    <col min="8964" max="8964" width="10.42578125" style="446" customWidth="1"/>
    <col min="8965" max="8965" width="13" style="446" customWidth="1"/>
    <col min="8966" max="9219" width="11.42578125" style="446"/>
    <col min="9220" max="9220" width="10.42578125" style="446" customWidth="1"/>
    <col min="9221" max="9221" width="13" style="446" customWidth="1"/>
    <col min="9222" max="9475" width="11.42578125" style="446"/>
    <col min="9476" max="9476" width="10.42578125" style="446" customWidth="1"/>
    <col min="9477" max="9477" width="13" style="446" customWidth="1"/>
    <col min="9478" max="9731" width="11.42578125" style="446"/>
    <col min="9732" max="9732" width="10.42578125" style="446" customWidth="1"/>
    <col min="9733" max="9733" width="13" style="446" customWidth="1"/>
    <col min="9734" max="9987" width="11.42578125" style="446"/>
    <col min="9988" max="9988" width="10.42578125" style="446" customWidth="1"/>
    <col min="9989" max="9989" width="13" style="446" customWidth="1"/>
    <col min="9990" max="10243" width="11.42578125" style="446"/>
    <col min="10244" max="10244" width="10.42578125" style="446" customWidth="1"/>
    <col min="10245" max="10245" width="13" style="446" customWidth="1"/>
    <col min="10246" max="10499" width="11.42578125" style="446"/>
    <col min="10500" max="10500" width="10.42578125" style="446" customWidth="1"/>
    <col min="10501" max="10501" width="13" style="446" customWidth="1"/>
    <col min="10502" max="10755" width="11.42578125" style="446"/>
    <col min="10756" max="10756" width="10.42578125" style="446" customWidth="1"/>
    <col min="10757" max="10757" width="13" style="446" customWidth="1"/>
    <col min="10758" max="11011" width="11.42578125" style="446"/>
    <col min="11012" max="11012" width="10.42578125" style="446" customWidth="1"/>
    <col min="11013" max="11013" width="13" style="446" customWidth="1"/>
    <col min="11014" max="11267" width="11.42578125" style="446"/>
    <col min="11268" max="11268" width="10.42578125" style="446" customWidth="1"/>
    <col min="11269" max="11269" width="13" style="446" customWidth="1"/>
    <col min="11270" max="11523" width="11.42578125" style="446"/>
    <col min="11524" max="11524" width="10.42578125" style="446" customWidth="1"/>
    <col min="11525" max="11525" width="13" style="446" customWidth="1"/>
    <col min="11526" max="11779" width="11.42578125" style="446"/>
    <col min="11780" max="11780" width="10.42578125" style="446" customWidth="1"/>
    <col min="11781" max="11781" width="13" style="446" customWidth="1"/>
    <col min="11782" max="12035" width="11.42578125" style="446"/>
    <col min="12036" max="12036" width="10.42578125" style="446" customWidth="1"/>
    <col min="12037" max="12037" width="13" style="446" customWidth="1"/>
    <col min="12038" max="12291" width="11.42578125" style="446"/>
    <col min="12292" max="12292" width="10.42578125" style="446" customWidth="1"/>
    <col min="12293" max="12293" width="13" style="446" customWidth="1"/>
    <col min="12294" max="12547" width="11.42578125" style="446"/>
    <col min="12548" max="12548" width="10.42578125" style="446" customWidth="1"/>
    <col min="12549" max="12549" width="13" style="446" customWidth="1"/>
    <col min="12550" max="12803" width="11.42578125" style="446"/>
    <col min="12804" max="12804" width="10.42578125" style="446" customWidth="1"/>
    <col min="12805" max="12805" width="13" style="446" customWidth="1"/>
    <col min="12806" max="13059" width="11.42578125" style="446"/>
    <col min="13060" max="13060" width="10.42578125" style="446" customWidth="1"/>
    <col min="13061" max="13061" width="13" style="446" customWidth="1"/>
    <col min="13062" max="13315" width="11.42578125" style="446"/>
    <col min="13316" max="13316" width="10.42578125" style="446" customWidth="1"/>
    <col min="13317" max="13317" width="13" style="446" customWidth="1"/>
    <col min="13318" max="13571" width="11.42578125" style="446"/>
    <col min="13572" max="13572" width="10.42578125" style="446" customWidth="1"/>
    <col min="13573" max="13573" width="13" style="446" customWidth="1"/>
    <col min="13574" max="13827" width="11.42578125" style="446"/>
    <col min="13828" max="13828" width="10.42578125" style="446" customWidth="1"/>
    <col min="13829" max="13829" width="13" style="446" customWidth="1"/>
    <col min="13830" max="14083" width="11.42578125" style="446"/>
    <col min="14084" max="14084" width="10.42578125" style="446" customWidth="1"/>
    <col min="14085" max="14085" width="13" style="446" customWidth="1"/>
    <col min="14086" max="14339" width="11.42578125" style="446"/>
    <col min="14340" max="14340" width="10.42578125" style="446" customWidth="1"/>
    <col min="14341" max="14341" width="13" style="446" customWidth="1"/>
    <col min="14342" max="14595" width="11.42578125" style="446"/>
    <col min="14596" max="14596" width="10.42578125" style="446" customWidth="1"/>
    <col min="14597" max="14597" width="13" style="446" customWidth="1"/>
    <col min="14598" max="14851" width="11.42578125" style="446"/>
    <col min="14852" max="14852" width="10.42578125" style="446" customWidth="1"/>
    <col min="14853" max="14853" width="13" style="446" customWidth="1"/>
    <col min="14854" max="15107" width="11.42578125" style="446"/>
    <col min="15108" max="15108" width="10.42578125" style="446" customWidth="1"/>
    <col min="15109" max="15109" width="13" style="446" customWidth="1"/>
    <col min="15110" max="15363" width="11.42578125" style="446"/>
    <col min="15364" max="15364" width="10.42578125" style="446" customWidth="1"/>
    <col min="15365" max="15365" width="13" style="446" customWidth="1"/>
    <col min="15366" max="15619" width="11.42578125" style="446"/>
    <col min="15620" max="15620" width="10.42578125" style="446" customWidth="1"/>
    <col min="15621" max="15621" width="13" style="446" customWidth="1"/>
    <col min="15622" max="15875" width="11.42578125" style="446"/>
    <col min="15876" max="15876" width="10.42578125" style="446" customWidth="1"/>
    <col min="15877" max="15877" width="13" style="446" customWidth="1"/>
    <col min="15878" max="16131" width="11.42578125" style="446"/>
    <col min="16132" max="16132" width="10.42578125" style="446" customWidth="1"/>
    <col min="16133" max="16133" width="13" style="446" customWidth="1"/>
    <col min="16134" max="16384" width="11.42578125" style="446"/>
  </cols>
  <sheetData>
    <row r="1" spans="1:11" ht="15">
      <c r="A1" s="186" t="s">
        <v>77</v>
      </c>
    </row>
    <row r="2" spans="1:11" ht="13.5" thickBot="1"/>
    <row r="3" spans="1:11" ht="15" customHeight="1">
      <c r="A3" s="1348" t="s">
        <v>213</v>
      </c>
      <c r="B3" s="1349"/>
      <c r="C3" s="1350"/>
      <c r="D3" s="448"/>
      <c r="E3" s="448"/>
      <c r="F3" s="448"/>
      <c r="G3" s="448"/>
      <c r="H3" s="449"/>
    </row>
    <row r="4" spans="1:11" ht="15" customHeight="1">
      <c r="A4" s="1351"/>
      <c r="B4" s="1352"/>
      <c r="C4" s="1353"/>
      <c r="D4" s="436"/>
      <c r="E4" s="450" t="s">
        <v>78</v>
      </c>
      <c r="F4" s="436"/>
      <c r="G4" s="436"/>
      <c r="H4" s="451"/>
      <c r="I4" s="436"/>
      <c r="J4" s="436"/>
    </row>
    <row r="5" spans="1:11" ht="15.75" customHeight="1" thickBot="1">
      <c r="A5" s="1354"/>
      <c r="B5" s="1355"/>
      <c r="C5" s="1356"/>
      <c r="D5" s="1360"/>
      <c r="E5" s="1361"/>
      <c r="F5" s="1361"/>
      <c r="G5" s="1361"/>
      <c r="H5" s="1362"/>
      <c r="I5" s="483"/>
      <c r="J5" s="483"/>
    </row>
    <row r="6" spans="1:11">
      <c r="A6" s="455"/>
      <c r="B6" s="436"/>
      <c r="C6" s="436"/>
      <c r="D6" s="436"/>
      <c r="E6" s="436"/>
      <c r="F6" s="436"/>
      <c r="G6" s="436"/>
      <c r="H6" s="436"/>
      <c r="I6" s="436"/>
      <c r="J6" s="436"/>
    </row>
    <row r="7" spans="1:11">
      <c r="A7" s="455" t="s">
        <v>224</v>
      </c>
      <c r="B7" s="456"/>
      <c r="C7" s="436"/>
      <c r="E7" s="456"/>
      <c r="G7" s="456" t="s">
        <v>222</v>
      </c>
      <c r="H7" s="436"/>
      <c r="I7" s="436"/>
      <c r="J7" s="436"/>
    </row>
    <row r="8" spans="1:11">
      <c r="A8" s="455" t="s">
        <v>221</v>
      </c>
      <c r="B8" s="456"/>
      <c r="C8" s="436"/>
      <c r="D8" s="456"/>
      <c r="E8" s="456"/>
      <c r="F8" s="456"/>
      <c r="G8" s="456" t="s">
        <v>223</v>
      </c>
      <c r="H8" s="436"/>
      <c r="I8" s="436"/>
      <c r="J8" s="436"/>
    </row>
    <row r="9" spans="1:11">
      <c r="A9" s="456"/>
      <c r="B9" s="456"/>
      <c r="C9" s="436"/>
      <c r="D9" s="456"/>
      <c r="E9" s="456"/>
      <c r="F9" s="456"/>
      <c r="G9" s="456"/>
      <c r="H9" s="436"/>
      <c r="I9" s="436"/>
      <c r="J9" s="436"/>
    </row>
    <row r="10" spans="1:11" ht="13.5" thickBot="1">
      <c r="A10" s="450" t="s">
        <v>79</v>
      </c>
      <c r="B10" s="450"/>
      <c r="C10" s="436"/>
      <c r="D10" s="436"/>
      <c r="E10" s="436"/>
      <c r="F10" s="436"/>
      <c r="G10" s="436"/>
      <c r="H10" s="436"/>
      <c r="I10" s="436"/>
      <c r="J10" s="436"/>
    </row>
    <row r="11" spans="1:11">
      <c r="A11" s="1345" t="s">
        <v>80</v>
      </c>
      <c r="B11" s="1346"/>
      <c r="C11" s="1347"/>
      <c r="D11" s="438" t="s">
        <v>81</v>
      </c>
      <c r="E11" s="438" t="s">
        <v>82</v>
      </c>
      <c r="F11" s="438" t="s">
        <v>83</v>
      </c>
      <c r="G11" s="439" t="s">
        <v>84</v>
      </c>
      <c r="H11" s="457"/>
      <c r="I11" s="436"/>
      <c r="J11" s="436"/>
      <c r="K11" s="548"/>
    </row>
    <row r="12" spans="1:11">
      <c r="A12" s="1357" t="s">
        <v>85</v>
      </c>
      <c r="B12" s="1358"/>
      <c r="C12" s="1359"/>
      <c r="D12" s="459"/>
      <c r="E12" s="440"/>
      <c r="F12" s="440"/>
      <c r="G12" s="432">
        <f>ROUND(H36*0.05,0)</f>
        <v>1482</v>
      </c>
      <c r="H12" s="460"/>
      <c r="I12" s="436"/>
      <c r="J12" s="436"/>
    </row>
    <row r="13" spans="1:11">
      <c r="A13" s="1357"/>
      <c r="B13" s="1358"/>
      <c r="C13" s="1359"/>
      <c r="D13" s="461"/>
      <c r="E13" s="462"/>
      <c r="F13" s="440"/>
      <c r="G13" s="432"/>
      <c r="H13" s="460"/>
      <c r="I13" s="436"/>
      <c r="J13" s="436"/>
    </row>
    <row r="14" spans="1:11" ht="13.5" thickBot="1">
      <c r="A14" s="1342" t="s">
        <v>262</v>
      </c>
      <c r="B14" s="1343"/>
      <c r="C14" s="1344"/>
      <c r="D14" s="464"/>
      <c r="E14" s="433">
        <v>39309.269999999997</v>
      </c>
      <c r="F14" s="434">
        <v>4.5</v>
      </c>
      <c r="G14" s="435">
        <f>+E14/F14</f>
        <v>8735.3933333333334</v>
      </c>
      <c r="H14" s="465"/>
      <c r="I14" s="436"/>
      <c r="J14" s="436"/>
    </row>
    <row r="15" spans="1:11" ht="13.5" thickBot="1">
      <c r="A15" s="436"/>
      <c r="B15" s="436"/>
      <c r="C15" s="436"/>
      <c r="D15" s="436"/>
      <c r="E15" s="436"/>
      <c r="F15" s="436"/>
      <c r="G15" s="437" t="s">
        <v>86</v>
      </c>
      <c r="H15" s="466">
        <f>SUM(G12:G14)</f>
        <v>10217.393333333333</v>
      </c>
      <c r="I15" s="541"/>
      <c r="J15" s="541"/>
    </row>
    <row r="16" spans="1:11" ht="13.5" thickBot="1">
      <c r="A16" s="450" t="s">
        <v>87</v>
      </c>
      <c r="B16" s="450"/>
      <c r="C16" s="436"/>
      <c r="D16" s="436"/>
      <c r="E16" s="436"/>
      <c r="F16" s="436"/>
      <c r="G16" s="436"/>
      <c r="H16" s="436"/>
      <c r="I16" s="436"/>
      <c r="J16" s="436"/>
    </row>
    <row r="17" spans="1:10">
      <c r="A17" s="1345" t="s">
        <v>80</v>
      </c>
      <c r="B17" s="1346"/>
      <c r="C17" s="1347"/>
      <c r="D17" s="438" t="s">
        <v>88</v>
      </c>
      <c r="E17" s="438" t="s">
        <v>89</v>
      </c>
      <c r="F17" s="438" t="s">
        <v>90</v>
      </c>
      <c r="G17" s="439" t="s">
        <v>84</v>
      </c>
      <c r="H17" s="457"/>
      <c r="I17" s="436"/>
      <c r="J17" s="436"/>
    </row>
    <row r="18" spans="1:10">
      <c r="A18" s="458" t="s">
        <v>244</v>
      </c>
      <c r="B18" s="467"/>
      <c r="C18" s="468"/>
      <c r="D18" s="459" t="s">
        <v>91</v>
      </c>
      <c r="E18" s="430">
        <f>MATERIALES!$C$12</f>
        <v>160000</v>
      </c>
      <c r="F18" s="431">
        <v>1.1599999999999999</v>
      </c>
      <c r="G18" s="432">
        <f>ROUND(F18*E18,0)</f>
        <v>185600</v>
      </c>
      <c r="H18" s="460"/>
      <c r="I18" s="436"/>
      <c r="J18" s="436"/>
    </row>
    <row r="19" spans="1:10">
      <c r="A19" s="469" t="s">
        <v>218</v>
      </c>
      <c r="B19" s="467"/>
      <c r="C19" s="468"/>
      <c r="D19" s="459" t="s">
        <v>219</v>
      </c>
      <c r="E19" s="674">
        <f>MATERIALES!$C$11</f>
        <v>37510</v>
      </c>
      <c r="F19" s="470">
        <v>6</v>
      </c>
      <c r="G19" s="432">
        <f>ROUND(F19*E19,0)</f>
        <v>225060</v>
      </c>
      <c r="H19" s="460"/>
      <c r="I19" s="436"/>
      <c r="J19" s="436"/>
    </row>
    <row r="20" spans="1:10">
      <c r="A20" s="469" t="s">
        <v>92</v>
      </c>
      <c r="B20" s="467"/>
      <c r="C20" s="468"/>
      <c r="D20" s="459" t="s">
        <v>220</v>
      </c>
      <c r="E20" s="430">
        <v>30</v>
      </c>
      <c r="F20" s="470">
        <v>130</v>
      </c>
      <c r="G20" s="432">
        <f>ROUND(F20*E20,0)</f>
        <v>3900</v>
      </c>
      <c r="H20" s="460"/>
      <c r="I20" s="436"/>
      <c r="J20" s="436"/>
    </row>
    <row r="21" spans="1:10">
      <c r="A21" s="469" t="s">
        <v>93</v>
      </c>
      <c r="B21" s="467"/>
      <c r="C21" s="471">
        <v>0.05</v>
      </c>
      <c r="D21" s="459"/>
      <c r="E21" s="430"/>
      <c r="F21" s="431"/>
      <c r="G21" s="432">
        <f>SUM(G18:G20)*C21</f>
        <v>20728</v>
      </c>
      <c r="H21" s="460"/>
      <c r="I21" s="436"/>
      <c r="J21" s="436"/>
    </row>
    <row r="22" spans="1:10" ht="13.5" thickBot="1">
      <c r="A22" s="472"/>
      <c r="B22" s="473"/>
      <c r="C22" s="474"/>
      <c r="D22" s="464"/>
      <c r="E22" s="433"/>
      <c r="F22" s="434"/>
      <c r="G22" s="435"/>
      <c r="H22" s="465"/>
      <c r="I22" s="436"/>
      <c r="J22" s="436"/>
    </row>
    <row r="23" spans="1:10" ht="13.5" thickBot="1">
      <c r="A23" s="436"/>
      <c r="B23" s="436"/>
      <c r="C23" s="436"/>
      <c r="D23" s="436"/>
      <c r="E23" s="436"/>
      <c r="F23" s="436"/>
      <c r="G23" s="437" t="s">
        <v>86</v>
      </c>
      <c r="H23" s="466">
        <f>SUM(G18:G22)</f>
        <v>435288</v>
      </c>
      <c r="I23" s="541"/>
      <c r="J23" s="541"/>
    </row>
    <row r="24" spans="1:10" ht="13.5" thickBot="1">
      <c r="A24" s="450" t="s">
        <v>94</v>
      </c>
      <c r="B24" s="450"/>
      <c r="C24" s="436"/>
      <c r="D24" s="436"/>
      <c r="E24" s="436"/>
      <c r="F24" s="436"/>
      <c r="G24" s="436"/>
      <c r="H24" s="436"/>
      <c r="I24" s="436"/>
      <c r="J24" s="436"/>
    </row>
    <row r="25" spans="1:10" ht="15" customHeight="1" thickBot="1">
      <c r="A25" s="1345" t="s">
        <v>95</v>
      </c>
      <c r="B25" s="1346"/>
      <c r="C25" s="1347"/>
      <c r="D25" s="438" t="s">
        <v>88</v>
      </c>
      <c r="E25" s="438" t="s">
        <v>89</v>
      </c>
      <c r="F25" s="438" t="s">
        <v>90</v>
      </c>
      <c r="G25" s="439" t="s">
        <v>84</v>
      </c>
      <c r="H25" s="457"/>
      <c r="I25" s="436"/>
      <c r="J25" s="436"/>
    </row>
    <row r="26" spans="1:10">
      <c r="A26" s="1357" t="s">
        <v>666</v>
      </c>
      <c r="B26" s="1358"/>
      <c r="C26" s="1359"/>
      <c r="D26" s="689">
        <v>35000</v>
      </c>
      <c r="E26" s="553"/>
      <c r="F26" s="560">
        <f>+F18</f>
        <v>1.1599999999999999</v>
      </c>
      <c r="G26" s="440">
        <f>+D26*F26</f>
        <v>40600</v>
      </c>
      <c r="H26" s="457"/>
    </row>
    <row r="27" spans="1:10" ht="15.75" customHeight="1" thickBot="1">
      <c r="A27" s="1342"/>
      <c r="B27" s="1343"/>
      <c r="C27" s="1344"/>
      <c r="D27" s="501"/>
      <c r="E27" s="501"/>
      <c r="F27" s="501"/>
      <c r="G27" s="555"/>
      <c r="H27" s="460"/>
      <c r="I27" s="436"/>
      <c r="J27" s="436"/>
    </row>
    <row r="28" spans="1:10" ht="13.5" thickBot="1">
      <c r="A28" s="436"/>
      <c r="B28" s="436"/>
      <c r="C28" s="436"/>
      <c r="D28" s="436"/>
      <c r="E28" s="436"/>
      <c r="F28" s="436"/>
      <c r="G28" s="437" t="s">
        <v>86</v>
      </c>
      <c r="H28" s="466">
        <f>SUM(G26:G27)</f>
        <v>40600</v>
      </c>
      <c r="I28" s="541"/>
      <c r="J28" s="541"/>
    </row>
    <row r="29" spans="1:10" ht="13.5" thickBot="1">
      <c r="A29" s="450" t="s">
        <v>96</v>
      </c>
      <c r="B29" s="450"/>
      <c r="C29" s="436"/>
      <c r="D29" s="436"/>
      <c r="E29" s="436"/>
      <c r="F29" s="436"/>
      <c r="G29" s="436"/>
      <c r="H29" s="436"/>
      <c r="I29" s="436"/>
      <c r="J29" s="436"/>
    </row>
    <row r="30" spans="1:10">
      <c r="A30" s="476" t="s">
        <v>97</v>
      </c>
      <c r="B30" s="438"/>
      <c r="C30" s="438" t="s">
        <v>98</v>
      </c>
      <c r="D30" s="438" t="s">
        <v>99</v>
      </c>
      <c r="E30" s="442" t="s">
        <v>100</v>
      </c>
      <c r="F30" s="443" t="s">
        <v>83</v>
      </c>
      <c r="G30" s="444" t="s">
        <v>84</v>
      </c>
      <c r="H30" s="477"/>
      <c r="I30" s="436"/>
      <c r="J30" s="436"/>
    </row>
    <row r="31" spans="1:10">
      <c r="A31" s="478" t="s">
        <v>227</v>
      </c>
      <c r="B31" s="468"/>
      <c r="C31" s="479">
        <f>PERSONAL!$E$31</f>
        <v>48800</v>
      </c>
      <c r="D31" s="480">
        <f>PERSONAL!$F$31</f>
        <v>1.7431000000000001</v>
      </c>
      <c r="E31" s="440">
        <f>+D31*C31</f>
        <v>85063.28</v>
      </c>
      <c r="F31" s="686">
        <v>8</v>
      </c>
      <c r="G31" s="445">
        <f>ROUND(E31/F31,0)</f>
        <v>10633</v>
      </c>
      <c r="H31" s="451"/>
      <c r="I31" s="436"/>
      <c r="J31" s="436"/>
    </row>
    <row r="32" spans="1:10">
      <c r="A32" s="478" t="s">
        <v>101</v>
      </c>
      <c r="B32" s="467"/>
      <c r="C32" s="479">
        <f>PERSONAL!$E$32</f>
        <v>87200</v>
      </c>
      <c r="D32" s="480">
        <f>PERSONAL!$F$31</f>
        <v>1.7431000000000001</v>
      </c>
      <c r="E32" s="440">
        <f>+D32*C32</f>
        <v>151998.32</v>
      </c>
      <c r="F32" s="686">
        <v>8</v>
      </c>
      <c r="G32" s="445">
        <f>ROUND(E32/F32,0)</f>
        <v>19000</v>
      </c>
      <c r="H32" s="451"/>
      <c r="I32" s="436"/>
      <c r="J32" s="436"/>
    </row>
    <row r="33" spans="1:10">
      <c r="A33" s="478"/>
      <c r="B33" s="468"/>
      <c r="C33" s="430"/>
      <c r="D33" s="459"/>
      <c r="E33" s="430"/>
      <c r="F33" s="440"/>
      <c r="G33" s="445"/>
      <c r="H33" s="451"/>
      <c r="I33" s="436"/>
      <c r="J33" s="436"/>
    </row>
    <row r="34" spans="1:10">
      <c r="A34" s="478"/>
      <c r="B34" s="468"/>
      <c r="C34" s="430"/>
      <c r="D34" s="459"/>
      <c r="E34" s="430"/>
      <c r="F34" s="440"/>
      <c r="G34" s="445"/>
      <c r="H34" s="451"/>
      <c r="I34" s="436"/>
      <c r="J34" s="436"/>
    </row>
    <row r="35" spans="1:10" ht="13.5" thickBot="1">
      <c r="A35" s="481"/>
      <c r="B35" s="474"/>
      <c r="C35" s="474"/>
      <c r="D35" s="474"/>
      <c r="E35" s="474"/>
      <c r="F35" s="474"/>
      <c r="G35" s="482"/>
      <c r="H35" s="482"/>
      <c r="I35" s="436"/>
      <c r="J35" s="436"/>
    </row>
    <row r="36" spans="1:10" ht="13.5" thickBot="1">
      <c r="A36" s="436"/>
      <c r="B36" s="436"/>
      <c r="C36" s="436"/>
      <c r="D36" s="436"/>
      <c r="E36" s="436"/>
      <c r="F36" s="436"/>
      <c r="G36" s="437" t="s">
        <v>86</v>
      </c>
      <c r="H36" s="466">
        <f>SUM(G31:G35)</f>
        <v>29633</v>
      </c>
      <c r="I36" s="541"/>
      <c r="J36" s="541"/>
    </row>
    <row r="37" spans="1:10" ht="13.5" thickBot="1">
      <c r="A37" s="436"/>
      <c r="B37" s="436"/>
      <c r="C37" s="436"/>
      <c r="D37" s="436"/>
      <c r="E37" s="436"/>
      <c r="F37" s="436"/>
      <c r="G37" s="483"/>
      <c r="H37" s="436"/>
      <c r="I37" s="436"/>
      <c r="J37" s="436"/>
    </row>
    <row r="38" spans="1:10" ht="13.5" thickBot="1">
      <c r="A38" s="436"/>
      <c r="B38" s="436"/>
      <c r="C38" s="436"/>
      <c r="D38" s="436"/>
      <c r="E38" s="484" t="s">
        <v>102</v>
      </c>
      <c r="F38" s="485"/>
      <c r="G38" s="485"/>
      <c r="H38" s="466">
        <f>H15+H23+H28+H36</f>
        <v>515738.39333333331</v>
      </c>
      <c r="I38" s="541"/>
      <c r="J38" s="541"/>
    </row>
    <row r="39" spans="1:10" ht="13.5" thickBot="1">
      <c r="A39" s="450" t="s">
        <v>103</v>
      </c>
      <c r="B39" s="450"/>
      <c r="C39" s="436"/>
      <c r="D39" s="436"/>
      <c r="E39" s="436"/>
      <c r="F39" s="436"/>
      <c r="G39" s="436"/>
      <c r="H39" s="436"/>
      <c r="I39" s="436"/>
      <c r="J39" s="436"/>
    </row>
    <row r="40" spans="1:10">
      <c r="A40" s="487" t="s">
        <v>80</v>
      </c>
      <c r="B40" s="488"/>
      <c r="C40" s="488"/>
      <c r="D40" s="488"/>
      <c r="E40" s="489"/>
      <c r="F40" s="490" t="s">
        <v>104</v>
      </c>
      <c r="G40" s="491" t="s">
        <v>105</v>
      </c>
      <c r="H40" s="457"/>
      <c r="I40" s="436"/>
      <c r="J40" s="436"/>
    </row>
    <row r="41" spans="1:10">
      <c r="A41" s="469" t="s">
        <v>106</v>
      </c>
      <c r="B41" s="467"/>
      <c r="C41" s="467"/>
      <c r="D41" s="467"/>
      <c r="E41" s="468"/>
      <c r="F41" s="492">
        <v>0.17630000000000001</v>
      </c>
      <c r="G41" s="493">
        <f>+F41*H38</f>
        <v>90924.678744666671</v>
      </c>
      <c r="H41" s="550"/>
      <c r="I41" s="436"/>
      <c r="J41" s="436"/>
    </row>
    <row r="42" spans="1:10">
      <c r="A42" s="469" t="s">
        <v>107</v>
      </c>
      <c r="B42" s="467"/>
      <c r="C42" s="467"/>
      <c r="D42" s="467"/>
      <c r="E42" s="468"/>
      <c r="F42" s="492">
        <v>0.02</v>
      </c>
      <c r="G42" s="493">
        <f>+F42*H38</f>
        <v>10314.767866666667</v>
      </c>
      <c r="H42" s="550"/>
      <c r="I42" s="436"/>
      <c r="J42" s="436"/>
    </row>
    <row r="43" spans="1:10" ht="13.5" thickBot="1">
      <c r="A43" s="472" t="s">
        <v>108</v>
      </c>
      <c r="B43" s="473"/>
      <c r="C43" s="473"/>
      <c r="D43" s="473"/>
      <c r="E43" s="474"/>
      <c r="F43" s="494">
        <v>0</v>
      </c>
      <c r="G43" s="495">
        <f>+F43*H38</f>
        <v>0</v>
      </c>
      <c r="H43" s="465"/>
      <c r="I43" s="436"/>
      <c r="J43" s="436"/>
    </row>
    <row r="44" spans="1:10" ht="13.5" thickBot="1">
      <c r="A44" s="436"/>
      <c r="B44" s="436"/>
      <c r="C44" s="436"/>
      <c r="D44" s="436"/>
      <c r="E44" s="436"/>
      <c r="F44" s="436"/>
      <c r="G44" s="437" t="s">
        <v>86</v>
      </c>
      <c r="H44" s="496">
        <f>SUM(G41:G43)</f>
        <v>101239.44661133333</v>
      </c>
      <c r="I44" s="541"/>
      <c r="J44" s="541"/>
    </row>
    <row r="45" spans="1:10" ht="13.5" thickBot="1">
      <c r="A45" s="436"/>
      <c r="B45" s="436"/>
      <c r="C45" s="436"/>
      <c r="D45" s="436"/>
      <c r="E45" s="436"/>
      <c r="F45" s="436"/>
      <c r="G45" s="436"/>
      <c r="H45" s="436"/>
      <c r="I45" s="436"/>
      <c r="J45" s="436"/>
    </row>
    <row r="46" spans="1:10" ht="13.5" thickBot="1">
      <c r="C46" s="436"/>
      <c r="D46" s="484" t="s">
        <v>109</v>
      </c>
      <c r="E46" s="485"/>
      <c r="F46" s="485"/>
      <c r="G46" s="485"/>
      <c r="H46" s="466">
        <f>ROUND((H38+H44),0)</f>
        <v>616978</v>
      </c>
      <c r="I46" s="541"/>
      <c r="J46" s="541"/>
    </row>
    <row r="48" spans="1:10" ht="15">
      <c r="A48" s="186" t="s">
        <v>77</v>
      </c>
    </row>
    <row r="49" spans="1:8" ht="13.5" thickBot="1"/>
    <row r="50" spans="1:8">
      <c r="A50" s="1348" t="s">
        <v>213</v>
      </c>
      <c r="B50" s="1349"/>
      <c r="C50" s="1350"/>
      <c r="D50" s="448"/>
      <c r="E50" s="448"/>
      <c r="F50" s="448"/>
      <c r="G50" s="448"/>
      <c r="H50" s="449"/>
    </row>
    <row r="51" spans="1:8">
      <c r="A51" s="1351"/>
      <c r="B51" s="1352"/>
      <c r="C51" s="1353"/>
      <c r="D51" s="436"/>
      <c r="E51" s="450" t="s">
        <v>78</v>
      </c>
      <c r="F51" s="436"/>
      <c r="G51" s="436"/>
      <c r="H51" s="451"/>
    </row>
    <row r="52" spans="1:8" ht="13.5" thickBot="1">
      <c r="A52" s="1354"/>
      <c r="B52" s="1355"/>
      <c r="C52" s="1356"/>
      <c r="D52" s="1360"/>
      <c r="E52" s="1361"/>
      <c r="F52" s="1361"/>
      <c r="G52" s="1361"/>
      <c r="H52" s="1362"/>
    </row>
    <row r="53" spans="1:8">
      <c r="A53" s="455"/>
      <c r="B53" s="436"/>
      <c r="C53" s="436"/>
      <c r="D53" s="436"/>
      <c r="E53" s="436"/>
      <c r="F53" s="436"/>
      <c r="G53" s="436"/>
      <c r="H53" s="436"/>
    </row>
    <row r="54" spans="1:8">
      <c r="A54" s="455" t="s">
        <v>224</v>
      </c>
      <c r="B54" s="456"/>
      <c r="C54" s="436"/>
      <c r="E54" s="456"/>
      <c r="G54" s="456" t="s">
        <v>222</v>
      </c>
      <c r="H54" s="436"/>
    </row>
    <row r="55" spans="1:8" ht="12.75" customHeight="1">
      <c r="A55" s="561" t="s">
        <v>242</v>
      </c>
      <c r="B55" s="562"/>
      <c r="C55" s="562"/>
      <c r="D55" s="562"/>
      <c r="E55" s="562"/>
      <c r="F55" s="562"/>
      <c r="G55" s="456" t="s">
        <v>223</v>
      </c>
      <c r="H55" s="436"/>
    </row>
    <row r="56" spans="1:8">
      <c r="A56" s="562"/>
      <c r="B56" s="562"/>
      <c r="C56" s="562"/>
      <c r="D56" s="562"/>
      <c r="E56" s="562"/>
      <c r="F56" s="562"/>
      <c r="G56" s="456"/>
      <c r="H56" s="436"/>
    </row>
    <row r="57" spans="1:8" ht="13.5" thickBot="1">
      <c r="A57" s="450" t="s">
        <v>79</v>
      </c>
      <c r="B57" s="450"/>
      <c r="C57" s="436"/>
      <c r="D57" s="436"/>
      <c r="E57" s="436"/>
      <c r="F57" s="436"/>
      <c r="G57" s="436"/>
      <c r="H57" s="436"/>
    </row>
    <row r="58" spans="1:8">
      <c r="A58" s="1345" t="s">
        <v>80</v>
      </c>
      <c r="B58" s="1346"/>
      <c r="C58" s="1347"/>
      <c r="D58" s="438" t="s">
        <v>81</v>
      </c>
      <c r="E58" s="438" t="s">
        <v>82</v>
      </c>
      <c r="F58" s="438" t="s">
        <v>83</v>
      </c>
      <c r="G58" s="439" t="s">
        <v>84</v>
      </c>
      <c r="H58" s="457"/>
    </row>
    <row r="59" spans="1:8">
      <c r="A59" s="1357" t="s">
        <v>85</v>
      </c>
      <c r="B59" s="1358"/>
      <c r="C59" s="1359"/>
      <c r="D59" s="459"/>
      <c r="E59" s="440"/>
      <c r="F59" s="440"/>
      <c r="G59" s="432">
        <f>ROUND(H82*0.05,0)</f>
        <v>2127</v>
      </c>
      <c r="H59" s="460"/>
    </row>
    <row r="60" spans="1:8" ht="13.5" thickBot="1">
      <c r="A60" s="1342" t="s">
        <v>262</v>
      </c>
      <c r="B60" s="1343"/>
      <c r="C60" s="1344"/>
      <c r="D60" s="464"/>
      <c r="E60" s="433">
        <v>39309.269999999997</v>
      </c>
      <c r="F60" s="434">
        <v>4.5</v>
      </c>
      <c r="G60" s="435">
        <f>+E60/F60</f>
        <v>8735.3933333333334</v>
      </c>
      <c r="H60" s="465"/>
    </row>
    <row r="61" spans="1:8" ht="13.5" thickBot="1">
      <c r="A61" s="436"/>
      <c r="B61" s="436"/>
      <c r="C61" s="436"/>
      <c r="D61" s="436"/>
      <c r="E61" s="436"/>
      <c r="F61" s="436"/>
      <c r="G61" s="437" t="s">
        <v>86</v>
      </c>
      <c r="H61" s="466">
        <f>SUM(G59:G60)</f>
        <v>10862.393333333333</v>
      </c>
    </row>
    <row r="62" spans="1:8" ht="13.5" thickBot="1">
      <c r="A62" s="450" t="s">
        <v>87</v>
      </c>
      <c r="B62" s="450"/>
      <c r="C62" s="436"/>
      <c r="D62" s="436"/>
      <c r="E62" s="436"/>
      <c r="F62" s="436"/>
      <c r="G62" s="436"/>
      <c r="H62" s="436"/>
    </row>
    <row r="63" spans="1:8">
      <c r="A63" s="1345" t="s">
        <v>80</v>
      </c>
      <c r="B63" s="1346"/>
      <c r="C63" s="1347"/>
      <c r="D63" s="438" t="s">
        <v>88</v>
      </c>
      <c r="E63" s="438" t="s">
        <v>89</v>
      </c>
      <c r="F63" s="438" t="s">
        <v>90</v>
      </c>
      <c r="G63" s="439" t="s">
        <v>84</v>
      </c>
      <c r="H63" s="457"/>
    </row>
    <row r="64" spans="1:8">
      <c r="A64" s="458" t="s">
        <v>243</v>
      </c>
      <c r="B64" s="467"/>
      <c r="C64" s="468"/>
      <c r="D64" s="459" t="s">
        <v>91</v>
      </c>
      <c r="E64" s="430">
        <f>MATERIALES!$C$14</f>
        <v>97161.12</v>
      </c>
      <c r="F64" s="431">
        <v>1.1599999999999999</v>
      </c>
      <c r="G64" s="432">
        <f>ROUND(F64*E64,0)</f>
        <v>112707</v>
      </c>
      <c r="H64" s="460"/>
    </row>
    <row r="65" spans="1:8">
      <c r="A65" s="469" t="s">
        <v>218</v>
      </c>
      <c r="B65" s="467"/>
      <c r="C65" s="468"/>
      <c r="D65" s="459" t="s">
        <v>219</v>
      </c>
      <c r="E65" s="430">
        <f>MATERIALES!$C$11</f>
        <v>37510</v>
      </c>
      <c r="F65" s="470">
        <f>364/50</f>
        <v>7.28</v>
      </c>
      <c r="G65" s="432">
        <f>ROUND(F65*E65,0)</f>
        <v>273073</v>
      </c>
      <c r="H65" s="460"/>
    </row>
    <row r="66" spans="1:8">
      <c r="A66" s="469" t="s">
        <v>92</v>
      </c>
      <c r="B66" s="467"/>
      <c r="C66" s="468"/>
      <c r="D66" s="459" t="s">
        <v>220</v>
      </c>
      <c r="E66" s="430">
        <v>30</v>
      </c>
      <c r="F66" s="470">
        <v>175</v>
      </c>
      <c r="G66" s="432">
        <f>ROUND(F66*E66,0)</f>
        <v>5250</v>
      </c>
      <c r="H66" s="460"/>
    </row>
    <row r="67" spans="1:8">
      <c r="A67" s="469" t="s">
        <v>93</v>
      </c>
      <c r="B67" s="467"/>
      <c r="C67" s="471">
        <v>0.05</v>
      </c>
      <c r="D67" s="459"/>
      <c r="E67" s="430"/>
      <c r="F67" s="431"/>
      <c r="G67" s="432">
        <f>SUM(G64:G66)*C67</f>
        <v>19551.5</v>
      </c>
      <c r="H67" s="460"/>
    </row>
    <row r="68" spans="1:8" ht="13.5" thickBot="1">
      <c r="A68" s="472"/>
      <c r="B68" s="473"/>
      <c r="C68" s="474"/>
      <c r="D68" s="464"/>
      <c r="E68" s="433"/>
      <c r="F68" s="434"/>
      <c r="G68" s="435"/>
      <c r="H68" s="460"/>
    </row>
    <row r="69" spans="1:8" ht="13.5" thickBot="1">
      <c r="A69" s="436"/>
      <c r="B69" s="436"/>
      <c r="C69" s="436"/>
      <c r="D69" s="436"/>
      <c r="E69" s="436"/>
      <c r="F69" s="436"/>
      <c r="G69" s="437" t="s">
        <v>86</v>
      </c>
      <c r="H69" s="465"/>
    </row>
    <row r="70" spans="1:8" ht="13.5" thickBot="1">
      <c r="A70" s="450" t="s">
        <v>94</v>
      </c>
      <c r="B70" s="450"/>
      <c r="C70" s="436"/>
      <c r="D70" s="436"/>
      <c r="E70" s="436"/>
      <c r="F70" s="436"/>
      <c r="G70" s="436"/>
      <c r="H70" s="466">
        <f>SUM(G64:G69)</f>
        <v>410581.5</v>
      </c>
    </row>
    <row r="71" spans="1:8" ht="13.5" thickBot="1">
      <c r="A71" s="1345" t="s">
        <v>95</v>
      </c>
      <c r="B71" s="1346"/>
      <c r="C71" s="1347"/>
      <c r="D71" s="438" t="s">
        <v>88</v>
      </c>
      <c r="E71" s="438" t="s">
        <v>89</v>
      </c>
      <c r="F71" s="438" t="s">
        <v>90</v>
      </c>
      <c r="G71" s="439" t="s">
        <v>84</v>
      </c>
      <c r="H71" s="436"/>
    </row>
    <row r="72" spans="1:8">
      <c r="A72" s="1357" t="s">
        <v>666</v>
      </c>
      <c r="B72" s="1358"/>
      <c r="C72" s="1359"/>
      <c r="D72" s="553">
        <f>32000*1.1</f>
        <v>35200</v>
      </c>
      <c r="E72" s="553"/>
      <c r="F72" s="560">
        <f>+F64</f>
        <v>1.1599999999999999</v>
      </c>
      <c r="G72" s="440">
        <f>+D72*F72</f>
        <v>40832</v>
      </c>
      <c r="H72" s="457"/>
    </row>
    <row r="73" spans="1:8" ht="13.5" thickBot="1">
      <c r="A73" s="1342"/>
      <c r="B73" s="1343"/>
      <c r="C73" s="1344"/>
      <c r="D73" s="501"/>
      <c r="E73" s="501"/>
      <c r="F73" s="501"/>
      <c r="G73" s="555"/>
      <c r="H73" s="460"/>
    </row>
    <row r="74" spans="1:8" ht="13.5" thickBot="1">
      <c r="A74" s="436"/>
      <c r="B74" s="436"/>
      <c r="C74" s="436"/>
      <c r="D74" s="436"/>
      <c r="E74" s="436"/>
      <c r="F74" s="436"/>
      <c r="G74" s="437" t="s">
        <v>86</v>
      </c>
      <c r="H74" s="460"/>
    </row>
    <row r="75" spans="1:8" ht="13.5" thickBot="1">
      <c r="A75" s="450" t="s">
        <v>96</v>
      </c>
      <c r="B75" s="450"/>
      <c r="C75" s="436"/>
      <c r="D75" s="436"/>
      <c r="E75" s="436"/>
      <c r="F75" s="436"/>
      <c r="G75" s="436"/>
      <c r="H75" s="466">
        <f>SUM(G72:G73)</f>
        <v>40832</v>
      </c>
    </row>
    <row r="76" spans="1:8" ht="15.75" customHeight="1" thickBot="1">
      <c r="A76" s="1345" t="s">
        <v>97</v>
      </c>
      <c r="B76" s="1347"/>
      <c r="C76" s="438" t="s">
        <v>98</v>
      </c>
      <c r="D76" s="438" t="s">
        <v>99</v>
      </c>
      <c r="E76" s="442" t="s">
        <v>100</v>
      </c>
      <c r="F76" s="443" t="s">
        <v>83</v>
      </c>
      <c r="G76" s="444" t="s">
        <v>84</v>
      </c>
      <c r="H76" s="436"/>
    </row>
    <row r="77" spans="1:8">
      <c r="A77" s="478" t="s">
        <v>246</v>
      </c>
      <c r="B77" s="542">
        <v>4</v>
      </c>
      <c r="C77" s="479">
        <f>PERSONAL!$E$31</f>
        <v>48800</v>
      </c>
      <c r="D77" s="480">
        <f>PERSONAL!$F$31</f>
        <v>1.7431000000000001</v>
      </c>
      <c r="E77" s="440">
        <f>+D77*C77*B77</f>
        <v>340253.12</v>
      </c>
      <c r="F77" s="440">
        <v>8</v>
      </c>
      <c r="G77" s="445">
        <f>ROUND(E77/F77,0)</f>
        <v>42532</v>
      </c>
      <c r="H77" s="477"/>
    </row>
    <row r="78" spans="1:8">
      <c r="A78" s="478"/>
      <c r="B78" s="467"/>
      <c r="C78" s="479"/>
      <c r="D78" s="480"/>
      <c r="E78" s="440"/>
      <c r="F78" s="440"/>
      <c r="G78" s="445"/>
      <c r="H78" s="451"/>
    </row>
    <row r="79" spans="1:8">
      <c r="A79" s="478"/>
      <c r="B79" s="468"/>
      <c r="C79" s="430"/>
      <c r="D79" s="459"/>
      <c r="E79" s="430"/>
      <c r="F79" s="440"/>
      <c r="G79" s="445"/>
      <c r="H79" s="451"/>
    </row>
    <row r="80" spans="1:8">
      <c r="A80" s="478"/>
      <c r="B80" s="468"/>
      <c r="C80" s="430"/>
      <c r="D80" s="459"/>
      <c r="E80" s="430"/>
      <c r="F80" s="440"/>
      <c r="G80" s="445"/>
      <c r="H80" s="451"/>
    </row>
    <row r="81" spans="1:8" ht="13.5" thickBot="1">
      <c r="A81" s="481"/>
      <c r="B81" s="474"/>
      <c r="C81" s="474"/>
      <c r="D81" s="474"/>
      <c r="E81" s="474"/>
      <c r="F81" s="474"/>
      <c r="G81" s="482"/>
      <c r="H81" s="482"/>
    </row>
    <row r="82" spans="1:8" ht="13.5" thickBot="1">
      <c r="A82" s="436"/>
      <c r="B82" s="436"/>
      <c r="C82" s="436"/>
      <c r="D82" s="436"/>
      <c r="E82" s="436"/>
      <c r="F82" s="436"/>
      <c r="G82" s="437" t="s">
        <v>86</v>
      </c>
      <c r="H82" s="466">
        <f>SUM(G77:G80)</f>
        <v>42532</v>
      </c>
    </row>
    <row r="83" spans="1:8" ht="13.5" thickBot="1">
      <c r="A83" s="436"/>
      <c r="B83" s="436"/>
      <c r="C83" s="436"/>
      <c r="D83" s="436"/>
      <c r="E83" s="436"/>
      <c r="F83" s="436"/>
      <c r="G83" s="483"/>
      <c r="H83" s="436"/>
    </row>
    <row r="84" spans="1:8" ht="13.5" thickBot="1">
      <c r="A84" s="436"/>
      <c r="B84" s="436"/>
      <c r="C84" s="436"/>
      <c r="D84" s="436"/>
      <c r="E84" s="484" t="s">
        <v>102</v>
      </c>
      <c r="F84" s="485"/>
      <c r="G84" s="485"/>
      <c r="H84" s="466">
        <f>H61+H70+H75+H82</f>
        <v>504807.89333333331</v>
      </c>
    </row>
    <row r="85" spans="1:8" ht="13.5" thickBot="1">
      <c r="A85" s="450" t="s">
        <v>103</v>
      </c>
      <c r="B85" s="450"/>
      <c r="C85" s="436"/>
      <c r="D85" s="436"/>
      <c r="E85" s="436"/>
      <c r="F85" s="436"/>
      <c r="G85" s="436"/>
      <c r="H85" s="436"/>
    </row>
    <row r="86" spans="1:8">
      <c r="A86" s="487" t="s">
        <v>80</v>
      </c>
      <c r="B86" s="488"/>
      <c r="C86" s="488"/>
      <c r="D86" s="488"/>
      <c r="E86" s="489"/>
      <c r="F86" s="490" t="s">
        <v>104</v>
      </c>
      <c r="G86" s="491" t="s">
        <v>105</v>
      </c>
      <c r="H86" s="457"/>
    </row>
    <row r="87" spans="1:8">
      <c r="A87" s="469" t="s">
        <v>106</v>
      </c>
      <c r="B87" s="467"/>
      <c r="C87" s="467"/>
      <c r="D87" s="467"/>
      <c r="E87" s="468"/>
      <c r="F87" s="492">
        <f>PRESUPUESTO!$E$222</f>
        <v>0.109</v>
      </c>
      <c r="G87" s="493">
        <f>+F87*H84</f>
        <v>55024.060373333334</v>
      </c>
      <c r="H87" s="550"/>
    </row>
    <row r="88" spans="1:8">
      <c r="A88" s="469" t="s">
        <v>107</v>
      </c>
      <c r="B88" s="467"/>
      <c r="C88" s="467"/>
      <c r="D88" s="467"/>
      <c r="E88" s="468"/>
      <c r="F88" s="492">
        <f>PRESUPUESTO!$E$223</f>
        <v>0.05</v>
      </c>
      <c r="G88" s="493">
        <f>+F88*H84</f>
        <v>25240.394666666667</v>
      </c>
      <c r="H88" s="550"/>
    </row>
    <row r="89" spans="1:8" ht="13.5" thickBot="1">
      <c r="A89" s="472" t="s">
        <v>108</v>
      </c>
      <c r="B89" s="473"/>
      <c r="C89" s="473"/>
      <c r="D89" s="473"/>
      <c r="E89" s="474"/>
      <c r="F89" s="494">
        <v>0</v>
      </c>
      <c r="G89" s="495">
        <f>+F89*H84</f>
        <v>0</v>
      </c>
      <c r="H89" s="465"/>
    </row>
    <row r="90" spans="1:8" ht="13.5" thickBot="1">
      <c r="A90" s="436"/>
      <c r="B90" s="436"/>
      <c r="C90" s="436"/>
      <c r="D90" s="436"/>
      <c r="E90" s="436"/>
      <c r="F90" s="436"/>
      <c r="G90" s="437" t="s">
        <v>86</v>
      </c>
      <c r="H90" s="496">
        <f>SUM(G87:G89)</f>
        <v>80264.455040000001</v>
      </c>
    </row>
    <row r="91" spans="1:8" ht="13.5" thickBot="1">
      <c r="A91" s="436"/>
      <c r="B91" s="436"/>
      <c r="C91" s="436"/>
      <c r="D91" s="436"/>
      <c r="E91" s="436"/>
      <c r="F91" s="436"/>
      <c r="G91" s="436"/>
      <c r="H91" s="436"/>
    </row>
    <row r="92" spans="1:8" ht="13.5" thickBot="1">
      <c r="C92" s="436"/>
      <c r="D92" s="484" t="s">
        <v>109</v>
      </c>
      <c r="E92" s="485"/>
      <c r="F92" s="485"/>
      <c r="G92" s="485"/>
      <c r="H92" s="466">
        <f>ROUND((H84+H90),0)</f>
        <v>585072</v>
      </c>
    </row>
    <row r="94" spans="1:8" ht="15">
      <c r="A94" s="186" t="s">
        <v>77</v>
      </c>
    </row>
    <row r="95" spans="1:8" ht="13.5" thickBot="1"/>
    <row r="96" spans="1:8">
      <c r="A96" s="1348" t="s">
        <v>213</v>
      </c>
      <c r="B96" s="1349"/>
      <c r="C96" s="1350"/>
      <c r="D96" s="448"/>
      <c r="E96" s="448"/>
      <c r="F96" s="448"/>
      <c r="G96" s="448"/>
      <c r="H96" s="449"/>
    </row>
    <row r="97" spans="1:8">
      <c r="A97" s="1351"/>
      <c r="B97" s="1352"/>
      <c r="C97" s="1353"/>
      <c r="D97" s="436"/>
      <c r="E97" s="450" t="s">
        <v>78</v>
      </c>
      <c r="F97" s="436"/>
      <c r="G97" s="436"/>
      <c r="H97" s="451"/>
    </row>
    <row r="98" spans="1:8" ht="13.5" thickBot="1">
      <c r="A98" s="1354"/>
      <c r="B98" s="1355"/>
      <c r="C98" s="1356"/>
      <c r="D98" s="1360"/>
      <c r="E98" s="1361"/>
      <c r="F98" s="1361"/>
      <c r="G98" s="1361"/>
      <c r="H98" s="1362"/>
    </row>
    <row r="99" spans="1:8">
      <c r="A99" s="455"/>
      <c r="B99" s="436"/>
      <c r="C99" s="436"/>
      <c r="D99" s="436"/>
      <c r="E99" s="436"/>
      <c r="F99" s="436"/>
      <c r="G99" s="436"/>
      <c r="H99" s="436"/>
    </row>
    <row r="100" spans="1:8">
      <c r="A100" s="455" t="s">
        <v>224</v>
      </c>
      <c r="B100" s="456"/>
      <c r="C100" s="436"/>
      <c r="E100" s="456"/>
      <c r="G100" s="456" t="s">
        <v>222</v>
      </c>
      <c r="H100" s="436"/>
    </row>
    <row r="101" spans="1:8">
      <c r="A101" s="455" t="s">
        <v>249</v>
      </c>
      <c r="B101" s="456"/>
      <c r="C101" s="436"/>
      <c r="D101" s="456"/>
      <c r="E101" s="456"/>
      <c r="F101" s="456"/>
      <c r="G101" s="456" t="s">
        <v>223</v>
      </c>
      <c r="H101" s="436"/>
    </row>
    <row r="102" spans="1:8">
      <c r="A102" s="456"/>
      <c r="B102" s="456"/>
      <c r="C102" s="436"/>
      <c r="D102" s="456"/>
      <c r="E102" s="456"/>
      <c r="F102" s="456"/>
      <c r="G102" s="456"/>
      <c r="H102" s="436"/>
    </row>
    <row r="103" spans="1:8" ht="13.5" thickBot="1">
      <c r="A103" s="450" t="s">
        <v>79</v>
      </c>
      <c r="B103" s="450"/>
      <c r="C103" s="436"/>
      <c r="D103" s="436"/>
      <c r="E103" s="436"/>
      <c r="F103" s="436"/>
      <c r="G103" s="436"/>
      <c r="H103" s="436"/>
    </row>
    <row r="104" spans="1:8">
      <c r="A104" s="1345" t="s">
        <v>80</v>
      </c>
      <c r="B104" s="1346"/>
      <c r="C104" s="1347"/>
      <c r="D104" s="438" t="s">
        <v>81</v>
      </c>
      <c r="E104" s="438" t="s">
        <v>82</v>
      </c>
      <c r="F104" s="438" t="s">
        <v>83</v>
      </c>
      <c r="G104" s="439" t="s">
        <v>84</v>
      </c>
      <c r="H104" s="457"/>
    </row>
    <row r="105" spans="1:8">
      <c r="A105" s="1357" t="s">
        <v>85</v>
      </c>
      <c r="B105" s="1358"/>
      <c r="C105" s="1359"/>
      <c r="D105" s="459"/>
      <c r="E105" s="440"/>
      <c r="F105" s="440"/>
      <c r="G105" s="432">
        <f>ROUND(H128*0.05,0)</f>
        <v>1824</v>
      </c>
      <c r="H105" s="460"/>
    </row>
    <row r="106" spans="1:8" ht="13.5" thickBot="1">
      <c r="A106" s="1342" t="s">
        <v>262</v>
      </c>
      <c r="B106" s="1343"/>
      <c r="C106" s="1344"/>
      <c r="D106" s="464"/>
      <c r="E106" s="433">
        <v>39309.269999999997</v>
      </c>
      <c r="F106" s="434">
        <v>4.5</v>
      </c>
      <c r="G106" s="435">
        <f>+E106/F106</f>
        <v>8735.3933333333334</v>
      </c>
      <c r="H106" s="465"/>
    </row>
    <row r="107" spans="1:8" ht="13.5" thickBot="1">
      <c r="A107" s="436"/>
      <c r="B107" s="436"/>
      <c r="C107" s="436"/>
      <c r="D107" s="436"/>
      <c r="E107" s="436"/>
      <c r="F107" s="436"/>
      <c r="G107" s="437" t="s">
        <v>86</v>
      </c>
      <c r="H107" s="466">
        <f>SUM(G105:G106)</f>
        <v>10559.393333333333</v>
      </c>
    </row>
    <row r="108" spans="1:8" ht="13.5" thickBot="1">
      <c r="A108" s="450" t="s">
        <v>87</v>
      </c>
      <c r="B108" s="450"/>
      <c r="C108" s="436"/>
      <c r="D108" s="436"/>
      <c r="E108" s="436"/>
      <c r="F108" s="436"/>
      <c r="G108" s="436"/>
      <c r="H108" s="436"/>
    </row>
    <row r="109" spans="1:8">
      <c r="A109" s="1345" t="s">
        <v>80</v>
      </c>
      <c r="B109" s="1346"/>
      <c r="C109" s="1347"/>
      <c r="D109" s="438" t="s">
        <v>88</v>
      </c>
      <c r="E109" s="438" t="s">
        <v>89</v>
      </c>
      <c r="F109" s="438" t="s">
        <v>90</v>
      </c>
      <c r="G109" s="439" t="s">
        <v>84</v>
      </c>
      <c r="H109" s="457"/>
    </row>
    <row r="110" spans="1:8">
      <c r="A110" s="458" t="s">
        <v>250</v>
      </c>
      <c r="B110" s="467"/>
      <c r="C110" s="468"/>
      <c r="D110" s="459" t="s">
        <v>91</v>
      </c>
      <c r="E110" s="430">
        <f>MATERIALES!$C$13</f>
        <v>160000</v>
      </c>
      <c r="F110" s="440">
        <v>1.2</v>
      </c>
      <c r="G110" s="432">
        <f>ROUND(F110*E110,0)</f>
        <v>192000</v>
      </c>
      <c r="H110" s="460"/>
    </row>
    <row r="111" spans="1:8">
      <c r="A111" s="469" t="s">
        <v>218</v>
      </c>
      <c r="B111" s="467"/>
      <c r="C111" s="468"/>
      <c r="D111" s="459" t="s">
        <v>219</v>
      </c>
      <c r="E111" s="430">
        <f>MATERIALES!$C$11</f>
        <v>37510</v>
      </c>
      <c r="F111" s="440">
        <v>6.04</v>
      </c>
      <c r="G111" s="432">
        <f>ROUND(F111*E111,0)</f>
        <v>226560</v>
      </c>
      <c r="H111" s="460"/>
    </row>
    <row r="112" spans="1:8">
      <c r="A112" s="469" t="s">
        <v>92</v>
      </c>
      <c r="B112" s="467"/>
      <c r="C112" s="468"/>
      <c r="D112" s="459" t="s">
        <v>220</v>
      </c>
      <c r="E112" s="430">
        <v>30</v>
      </c>
      <c r="F112" s="470">
        <v>130</v>
      </c>
      <c r="G112" s="432">
        <f>ROUND(F112*E112,0)</f>
        <v>3900</v>
      </c>
      <c r="H112" s="460"/>
    </row>
    <row r="113" spans="1:8">
      <c r="A113" s="469" t="s">
        <v>93</v>
      </c>
      <c r="B113" s="467"/>
      <c r="C113" s="471">
        <v>0.05</v>
      </c>
      <c r="D113" s="459"/>
      <c r="E113" s="430"/>
      <c r="F113" s="431"/>
      <c r="G113" s="432">
        <f>SUM(G110:G112)*C113</f>
        <v>21123</v>
      </c>
      <c r="H113" s="460"/>
    </row>
    <row r="114" spans="1:8" ht="13.5" thickBot="1">
      <c r="A114" s="472"/>
      <c r="B114" s="473"/>
      <c r="C114" s="474"/>
      <c r="D114" s="464"/>
      <c r="E114" s="433"/>
      <c r="F114" s="434"/>
      <c r="G114" s="435"/>
      <c r="H114" s="465"/>
    </row>
    <row r="115" spans="1:8" ht="13.5" thickBot="1">
      <c r="A115" s="436"/>
      <c r="B115" s="436"/>
      <c r="C115" s="436"/>
      <c r="D115" s="436"/>
      <c r="E115" s="436"/>
      <c r="F115" s="436"/>
      <c r="G115" s="437" t="s">
        <v>86</v>
      </c>
      <c r="H115" s="466">
        <f>SUM(G110:G114)</f>
        <v>443583</v>
      </c>
    </row>
    <row r="116" spans="1:8" ht="13.5" thickBot="1">
      <c r="A116" s="450" t="s">
        <v>94</v>
      </c>
      <c r="B116" s="450"/>
      <c r="C116" s="436"/>
      <c r="D116" s="436"/>
      <c r="E116" s="436"/>
      <c r="F116" s="436"/>
      <c r="G116" s="436"/>
      <c r="H116" s="436"/>
    </row>
    <row r="117" spans="1:8" ht="13.5" thickBot="1">
      <c r="A117" s="1345" t="s">
        <v>95</v>
      </c>
      <c r="B117" s="1346"/>
      <c r="C117" s="1347"/>
      <c r="D117" s="438" t="s">
        <v>88</v>
      </c>
      <c r="E117" s="438" t="s">
        <v>89</v>
      </c>
      <c r="F117" s="438" t="s">
        <v>90</v>
      </c>
      <c r="G117" s="439" t="s">
        <v>84</v>
      </c>
      <c r="H117" s="436"/>
    </row>
    <row r="118" spans="1:8">
      <c r="A118" s="1357" t="s">
        <v>666</v>
      </c>
      <c r="B118" s="1358"/>
      <c r="C118" s="1359"/>
      <c r="D118" s="553">
        <f>32000*1.1</f>
        <v>35200</v>
      </c>
      <c r="E118" s="553"/>
      <c r="F118" s="560">
        <f>+F110</f>
        <v>1.2</v>
      </c>
      <c r="G118" s="440">
        <f>+D118*F118</f>
        <v>42240</v>
      </c>
      <c r="H118" s="457"/>
    </row>
    <row r="119" spans="1:8" ht="13.5" thickBot="1">
      <c r="A119" s="1342"/>
      <c r="B119" s="1343"/>
      <c r="C119" s="1344"/>
      <c r="D119" s="501"/>
      <c r="E119" s="501"/>
      <c r="F119" s="501"/>
      <c r="G119" s="555"/>
      <c r="H119" s="460"/>
    </row>
    <row r="120" spans="1:8" ht="13.5" thickBot="1">
      <c r="A120" s="436"/>
      <c r="B120" s="436"/>
      <c r="C120" s="436"/>
      <c r="D120" s="436"/>
      <c r="E120" s="436"/>
      <c r="F120" s="436"/>
      <c r="G120" s="437" t="s">
        <v>86</v>
      </c>
      <c r="H120" s="460"/>
    </row>
    <row r="121" spans="1:8" ht="13.5" thickBot="1">
      <c r="A121" s="450" t="s">
        <v>96</v>
      </c>
      <c r="B121" s="450"/>
      <c r="C121" s="436"/>
      <c r="D121" s="436"/>
      <c r="E121" s="436"/>
      <c r="F121" s="436"/>
      <c r="G121" s="436"/>
      <c r="H121" s="466">
        <f>SUM(G118:G119)</f>
        <v>42240</v>
      </c>
    </row>
    <row r="122" spans="1:8">
      <c r="A122" s="476" t="s">
        <v>97</v>
      </c>
      <c r="B122" s="438"/>
      <c r="C122" s="438" t="s">
        <v>98</v>
      </c>
      <c r="D122" s="438" t="s">
        <v>99</v>
      </c>
      <c r="E122" s="442" t="s">
        <v>100</v>
      </c>
      <c r="F122" s="443" t="s">
        <v>83</v>
      </c>
      <c r="G122" s="444" t="s">
        <v>84</v>
      </c>
      <c r="H122" s="477"/>
    </row>
    <row r="123" spans="1:8">
      <c r="A123" s="478" t="s">
        <v>227</v>
      </c>
      <c r="B123" s="468"/>
      <c r="C123" s="479">
        <f>PERSONAL!$E$31</f>
        <v>48800</v>
      </c>
      <c r="D123" s="480">
        <f>PERSONAL!$F$31</f>
        <v>1.7431000000000001</v>
      </c>
      <c r="E123" s="440">
        <f>+D123*C123</f>
        <v>85063.28</v>
      </c>
      <c r="F123" s="440">
        <v>6.5</v>
      </c>
      <c r="G123" s="445">
        <f>ROUND(E123/F123,0)</f>
        <v>13087</v>
      </c>
      <c r="H123" s="451"/>
    </row>
    <row r="124" spans="1:8">
      <c r="A124" s="478" t="s">
        <v>101</v>
      </c>
      <c r="B124" s="467"/>
      <c r="C124" s="479">
        <f>PERSONAL!$E$32</f>
        <v>87200</v>
      </c>
      <c r="D124" s="480">
        <f>PERSONAL!$F$31</f>
        <v>1.7431000000000001</v>
      </c>
      <c r="E124" s="440">
        <f>+D124*C124</f>
        <v>151998.32</v>
      </c>
      <c r="F124" s="440">
        <v>6.5</v>
      </c>
      <c r="G124" s="445">
        <f>ROUND(E124/F124,0)</f>
        <v>23384</v>
      </c>
      <c r="H124" s="451"/>
    </row>
    <row r="125" spans="1:8">
      <c r="A125" s="478"/>
      <c r="B125" s="468"/>
      <c r="C125" s="430"/>
      <c r="D125" s="459"/>
      <c r="E125" s="430"/>
      <c r="F125" s="440"/>
      <c r="G125" s="445"/>
      <c r="H125" s="451"/>
    </row>
    <row r="126" spans="1:8">
      <c r="A126" s="478"/>
      <c r="B126" s="468"/>
      <c r="C126" s="430"/>
      <c r="D126" s="459"/>
      <c r="E126" s="430"/>
      <c r="F126" s="440"/>
      <c r="G126" s="445"/>
      <c r="H126" s="451"/>
    </row>
    <row r="127" spans="1:8" ht="13.5" thickBot="1">
      <c r="A127" s="481"/>
      <c r="B127" s="474"/>
      <c r="C127" s="474"/>
      <c r="D127" s="474"/>
      <c r="E127" s="474"/>
      <c r="F127" s="474"/>
      <c r="G127" s="482"/>
      <c r="H127" s="482"/>
    </row>
    <row r="128" spans="1:8" ht="13.5" thickBot="1">
      <c r="A128" s="436"/>
      <c r="B128" s="436"/>
      <c r="C128" s="436"/>
      <c r="D128" s="436"/>
      <c r="E128" s="436"/>
      <c r="F128" s="436"/>
      <c r="G128" s="437" t="s">
        <v>86</v>
      </c>
      <c r="H128" s="466">
        <f>SUM(G123:G127)</f>
        <v>36471</v>
      </c>
    </row>
    <row r="129" spans="1:8" ht="13.5" thickBot="1">
      <c r="A129" s="436"/>
      <c r="B129" s="436"/>
      <c r="C129" s="436"/>
      <c r="D129" s="436"/>
      <c r="E129" s="436"/>
      <c r="F129" s="436"/>
      <c r="G129" s="483"/>
      <c r="H129" s="436"/>
    </row>
    <row r="130" spans="1:8" ht="13.5" thickBot="1">
      <c r="A130" s="436"/>
      <c r="B130" s="436"/>
      <c r="C130" s="436"/>
      <c r="D130" s="436"/>
      <c r="E130" s="484" t="s">
        <v>102</v>
      </c>
      <c r="F130" s="485"/>
      <c r="G130" s="485"/>
      <c r="H130" s="466">
        <f>H107+H115+H120+H128</f>
        <v>490613.39333333331</v>
      </c>
    </row>
    <row r="131" spans="1:8" ht="13.5" thickBot="1">
      <c r="A131" s="450" t="s">
        <v>103</v>
      </c>
      <c r="B131" s="450"/>
      <c r="C131" s="436"/>
      <c r="D131" s="436"/>
      <c r="E131" s="436"/>
      <c r="F131" s="436"/>
      <c r="G131" s="436"/>
      <c r="H131" s="436"/>
    </row>
    <row r="132" spans="1:8">
      <c r="A132" s="487" t="s">
        <v>80</v>
      </c>
      <c r="B132" s="488"/>
      <c r="C132" s="488"/>
      <c r="D132" s="488"/>
      <c r="E132" s="489"/>
      <c r="F132" s="490" t="s">
        <v>104</v>
      </c>
      <c r="G132" s="491" t="s">
        <v>105</v>
      </c>
      <c r="H132" s="457"/>
    </row>
    <row r="133" spans="1:8">
      <c r="A133" s="469" t="s">
        <v>106</v>
      </c>
      <c r="B133" s="467"/>
      <c r="C133" s="467"/>
      <c r="D133" s="467"/>
      <c r="E133" s="468"/>
      <c r="F133" s="492">
        <v>0.17630000000000001</v>
      </c>
      <c r="G133" s="493">
        <f>+F133*H130</f>
        <v>86495.141244666665</v>
      </c>
      <c r="H133" s="550"/>
    </row>
    <row r="134" spans="1:8">
      <c r="A134" s="469" t="s">
        <v>107</v>
      </c>
      <c r="B134" s="467"/>
      <c r="C134" s="467"/>
      <c r="D134" s="467"/>
      <c r="E134" s="468"/>
      <c r="F134" s="492">
        <v>0.02</v>
      </c>
      <c r="G134" s="493">
        <f>+F134*H130</f>
        <v>9812.267866666667</v>
      </c>
      <c r="H134" s="550"/>
    </row>
    <row r="135" spans="1:8" ht="13.5" thickBot="1">
      <c r="A135" s="472" t="s">
        <v>108</v>
      </c>
      <c r="B135" s="473"/>
      <c r="C135" s="473"/>
      <c r="D135" s="473"/>
      <c r="E135" s="474"/>
      <c r="F135" s="494">
        <v>0</v>
      </c>
      <c r="G135" s="495">
        <f>+F135*H130</f>
        <v>0</v>
      </c>
      <c r="H135" s="465"/>
    </row>
    <row r="136" spans="1:8" ht="13.5" thickBot="1">
      <c r="A136" s="436"/>
      <c r="B136" s="436"/>
      <c r="C136" s="436"/>
      <c r="D136" s="436"/>
      <c r="E136" s="436"/>
      <c r="F136" s="436"/>
      <c r="G136" s="437" t="s">
        <v>86</v>
      </c>
      <c r="H136" s="496">
        <f>SUM(G133:G135)</f>
        <v>96307.409111333327</v>
      </c>
    </row>
    <row r="137" spans="1:8" ht="13.5" thickBot="1">
      <c r="A137" s="436"/>
      <c r="B137" s="436"/>
      <c r="C137" s="436"/>
      <c r="D137" s="436"/>
      <c r="E137" s="436"/>
      <c r="F137" s="436"/>
      <c r="G137" s="436"/>
      <c r="H137" s="436"/>
    </row>
    <row r="138" spans="1:8" ht="13.5" thickBot="1">
      <c r="C138" s="436"/>
      <c r="D138" s="484" t="s">
        <v>109</v>
      </c>
      <c r="E138" s="485"/>
      <c r="F138" s="485"/>
      <c r="G138" s="485"/>
      <c r="H138" s="466">
        <f>ROUND((H130+H136),0)</f>
        <v>586921</v>
      </c>
    </row>
    <row r="140" spans="1:8" ht="15">
      <c r="A140" s="186" t="s">
        <v>77</v>
      </c>
    </row>
    <row r="141" spans="1:8" ht="13.5" thickBot="1"/>
    <row r="142" spans="1:8">
      <c r="A142" s="1348" t="s">
        <v>213</v>
      </c>
      <c r="B142" s="1349"/>
      <c r="C142" s="1350"/>
      <c r="D142" s="448"/>
      <c r="E142" s="448"/>
      <c r="F142" s="448"/>
      <c r="G142" s="448"/>
      <c r="H142" s="449"/>
    </row>
    <row r="143" spans="1:8">
      <c r="A143" s="1351"/>
      <c r="B143" s="1352"/>
      <c r="C143" s="1353"/>
      <c r="D143" s="436"/>
      <c r="E143" s="450" t="s">
        <v>78</v>
      </c>
      <c r="F143" s="436"/>
      <c r="G143" s="436"/>
      <c r="H143" s="451"/>
    </row>
    <row r="144" spans="1:8" ht="13.5" thickBot="1">
      <c r="A144" s="1354"/>
      <c r="B144" s="1355"/>
      <c r="C144" s="1356"/>
      <c r="D144" s="1360"/>
      <c r="E144" s="1361"/>
      <c r="F144" s="1361"/>
      <c r="G144" s="1361"/>
      <c r="H144" s="1362"/>
    </row>
    <row r="145" spans="1:8">
      <c r="A145" s="455"/>
      <c r="B145" s="436"/>
      <c r="C145" s="436"/>
      <c r="D145" s="436"/>
      <c r="E145" s="436"/>
      <c r="F145" s="436"/>
      <c r="G145" s="436"/>
      <c r="H145" s="436"/>
    </row>
    <row r="146" spans="1:8">
      <c r="A146" s="455" t="s">
        <v>224</v>
      </c>
      <c r="B146" s="456"/>
      <c r="C146" s="436"/>
      <c r="E146" s="456"/>
      <c r="G146" s="456" t="s">
        <v>222</v>
      </c>
      <c r="H146" s="436"/>
    </row>
    <row r="147" spans="1:8">
      <c r="A147" s="561" t="s">
        <v>529</v>
      </c>
      <c r="B147" s="562"/>
      <c r="C147" s="562"/>
      <c r="D147" s="562"/>
      <c r="E147" s="562"/>
      <c r="F147" s="562"/>
      <c r="G147" s="456" t="s">
        <v>223</v>
      </c>
      <c r="H147" s="436"/>
    </row>
    <row r="148" spans="1:8">
      <c r="A148" s="562"/>
      <c r="B148" s="562"/>
      <c r="C148" s="562"/>
      <c r="D148" s="562"/>
      <c r="E148" s="562"/>
      <c r="F148" s="562"/>
      <c r="G148" s="456"/>
      <c r="H148" s="436"/>
    </row>
    <row r="149" spans="1:8" ht="13.5" thickBot="1">
      <c r="A149" s="450" t="s">
        <v>79</v>
      </c>
      <c r="B149" s="450"/>
      <c r="C149" s="436"/>
      <c r="D149" s="436"/>
      <c r="E149" s="436"/>
      <c r="F149" s="436"/>
      <c r="G149" s="436"/>
      <c r="H149" s="436"/>
    </row>
    <row r="150" spans="1:8">
      <c r="A150" s="1345" t="s">
        <v>80</v>
      </c>
      <c r="B150" s="1346"/>
      <c r="C150" s="1347"/>
      <c r="D150" s="438" t="s">
        <v>81</v>
      </c>
      <c r="E150" s="438" t="s">
        <v>82</v>
      </c>
      <c r="F150" s="438" t="s">
        <v>83</v>
      </c>
      <c r="G150" s="439" t="s">
        <v>84</v>
      </c>
      <c r="H150" s="457"/>
    </row>
    <row r="151" spans="1:8">
      <c r="A151" s="1357" t="s">
        <v>85</v>
      </c>
      <c r="B151" s="1358"/>
      <c r="C151" s="1359"/>
      <c r="D151" s="459"/>
      <c r="E151" s="440"/>
      <c r="F151" s="440"/>
      <c r="G151" s="432">
        <f>ROUND(H174*0.05,0)</f>
        <v>2127</v>
      </c>
      <c r="H151" s="460"/>
    </row>
    <row r="152" spans="1:8" ht="13.5" thickBot="1">
      <c r="A152" s="1357" t="s">
        <v>262</v>
      </c>
      <c r="B152" s="1358"/>
      <c r="C152" s="1359"/>
      <c r="D152" s="461" t="s">
        <v>263</v>
      </c>
      <c r="E152" s="462">
        <v>39309.269999999997</v>
      </c>
      <c r="F152" s="434">
        <v>4.5</v>
      </c>
      <c r="G152" s="435">
        <f>+E152/F152</f>
        <v>8735.3933333333334</v>
      </c>
      <c r="H152" s="460"/>
    </row>
    <row r="153" spans="1:8" ht="13.5" thickBot="1">
      <c r="A153" s="1342"/>
      <c r="B153" s="1343"/>
      <c r="C153" s="1344"/>
      <c r="D153" s="464"/>
      <c r="E153" s="433"/>
      <c r="F153" s="434"/>
      <c r="G153" s="435"/>
      <c r="H153" s="465"/>
    </row>
    <row r="154" spans="1:8" ht="13.5" thickBot="1">
      <c r="A154" s="436"/>
      <c r="B154" s="436"/>
      <c r="C154" s="436"/>
      <c r="D154" s="436"/>
      <c r="E154" s="436"/>
      <c r="F154" s="436"/>
      <c r="G154" s="437" t="s">
        <v>86</v>
      </c>
      <c r="H154" s="466">
        <f>SUM(G151:G153)</f>
        <v>10862.393333333333</v>
      </c>
    </row>
    <row r="155" spans="1:8" ht="13.5" thickBot="1">
      <c r="A155" s="450" t="s">
        <v>87</v>
      </c>
      <c r="B155" s="450"/>
      <c r="C155" s="436"/>
      <c r="D155" s="436"/>
      <c r="E155" s="436"/>
      <c r="F155" s="436"/>
      <c r="G155" s="436"/>
      <c r="H155" s="436"/>
    </row>
    <row r="156" spans="1:8">
      <c r="A156" s="1345" t="s">
        <v>80</v>
      </c>
      <c r="B156" s="1346"/>
      <c r="C156" s="1347"/>
      <c r="D156" s="438" t="s">
        <v>88</v>
      </c>
      <c r="E156" s="438" t="s">
        <v>89</v>
      </c>
      <c r="F156" s="438" t="s">
        <v>90</v>
      </c>
      <c r="G156" s="444" t="s">
        <v>84</v>
      </c>
      <c r="H156" s="457"/>
    </row>
    <row r="157" spans="1:8">
      <c r="A157" s="458" t="s">
        <v>243</v>
      </c>
      <c r="B157" s="467"/>
      <c r="C157" s="468"/>
      <c r="D157" s="459" t="s">
        <v>91</v>
      </c>
      <c r="E157" s="430">
        <f>MATERIALES!$C$14</f>
        <v>97161.12</v>
      </c>
      <c r="F157" s="691">
        <v>0.53</v>
      </c>
      <c r="G157" s="445">
        <f>ROUND(F157*E157,0)</f>
        <v>51495</v>
      </c>
      <c r="H157" s="460"/>
    </row>
    <row r="158" spans="1:8">
      <c r="A158" s="469" t="s">
        <v>530</v>
      </c>
      <c r="B158" s="467"/>
      <c r="C158" s="468"/>
      <c r="D158" s="459" t="s">
        <v>91</v>
      </c>
      <c r="E158" s="430">
        <f>MATERIALES!$C$15</f>
        <v>108727.92</v>
      </c>
      <c r="F158" s="686">
        <v>0.9</v>
      </c>
      <c r="G158" s="445">
        <f>ROUND(F158*E158,0)</f>
        <v>97855</v>
      </c>
      <c r="H158" s="460"/>
    </row>
    <row r="159" spans="1:8">
      <c r="A159" s="469" t="s">
        <v>218</v>
      </c>
      <c r="B159" s="467"/>
      <c r="C159" s="468"/>
      <c r="D159" s="459" t="s">
        <v>219</v>
      </c>
      <c r="E159" s="674">
        <f>MATERIALES!$C$11</f>
        <v>37510</v>
      </c>
      <c r="F159" s="692">
        <v>7.5</v>
      </c>
      <c r="G159" s="445">
        <f>ROUND(F159*E159,0)</f>
        <v>281325</v>
      </c>
      <c r="H159" s="460"/>
    </row>
    <row r="160" spans="1:8">
      <c r="A160" s="469" t="s">
        <v>92</v>
      </c>
      <c r="B160" s="467"/>
      <c r="C160" s="468"/>
      <c r="D160" s="459" t="s">
        <v>220</v>
      </c>
      <c r="E160" s="430">
        <v>30</v>
      </c>
      <c r="F160" s="470">
        <v>175</v>
      </c>
      <c r="G160" s="445">
        <f>ROUND(F160*E160,0)</f>
        <v>5250</v>
      </c>
      <c r="H160" s="460"/>
    </row>
    <row r="161" spans="1:8" ht="13.5" thickBot="1">
      <c r="A161" s="499" t="s">
        <v>93</v>
      </c>
      <c r="B161" s="500"/>
      <c r="C161" s="558">
        <v>0.05</v>
      </c>
      <c r="D161" s="464"/>
      <c r="E161" s="433"/>
      <c r="F161" s="502"/>
      <c r="G161" s="441">
        <f>SUM(G157:G160)*C161</f>
        <v>21796.25</v>
      </c>
      <c r="H161" s="460"/>
    </row>
    <row r="162" spans="1:8" ht="13.5" thickBot="1">
      <c r="A162" s="436"/>
      <c r="B162" s="436"/>
      <c r="C162" s="436"/>
      <c r="D162" s="436"/>
      <c r="E162" s="436"/>
      <c r="F162" s="436"/>
      <c r="G162" s="437" t="s">
        <v>86</v>
      </c>
      <c r="H162" s="466">
        <f>SUM(G157:G161)</f>
        <v>457721.25</v>
      </c>
    </row>
    <row r="163" spans="1:8" ht="13.5" thickBot="1">
      <c r="A163" s="1345" t="s">
        <v>95</v>
      </c>
      <c r="B163" s="1346"/>
      <c r="C163" s="1347"/>
      <c r="D163" s="438" t="s">
        <v>88</v>
      </c>
      <c r="E163" s="438" t="s">
        <v>89</v>
      </c>
      <c r="F163" s="438" t="s">
        <v>90</v>
      </c>
      <c r="G163" s="439" t="s">
        <v>84</v>
      </c>
      <c r="H163" s="436"/>
    </row>
    <row r="164" spans="1:8">
      <c r="A164" s="1357" t="s">
        <v>666</v>
      </c>
      <c r="B164" s="1358"/>
      <c r="C164" s="1359"/>
      <c r="D164" s="689">
        <v>35000</v>
      </c>
      <c r="E164" s="553"/>
      <c r="F164" s="560">
        <f>+F157+F158</f>
        <v>1.4300000000000002</v>
      </c>
      <c r="G164" s="440">
        <f>+D164*F164</f>
        <v>50050.000000000007</v>
      </c>
      <c r="H164" s="457"/>
    </row>
    <row r="165" spans="1:8" ht="13.5" thickBot="1">
      <c r="A165" s="1342"/>
      <c r="B165" s="1343"/>
      <c r="C165" s="1344"/>
      <c r="D165" s="501"/>
      <c r="E165" s="501"/>
      <c r="F165" s="501"/>
      <c r="G165" s="555"/>
      <c r="H165" s="460"/>
    </row>
    <row r="166" spans="1:8" ht="13.5" thickBot="1">
      <c r="A166" s="436"/>
      <c r="B166" s="436"/>
      <c r="C166" s="436"/>
      <c r="D166" s="436"/>
      <c r="E166" s="436"/>
      <c r="F166" s="436"/>
      <c r="G166" s="437" t="s">
        <v>86</v>
      </c>
      <c r="H166" s="466">
        <f>SUM(G164:G165)</f>
        <v>50050.000000000007</v>
      </c>
    </row>
    <row r="167" spans="1:8" ht="13.5" thickBot="1">
      <c r="A167" s="450" t="s">
        <v>96</v>
      </c>
      <c r="B167" s="450"/>
      <c r="C167" s="436"/>
      <c r="D167" s="436"/>
      <c r="E167" s="436"/>
      <c r="F167" s="436"/>
      <c r="G167" s="436"/>
    </row>
    <row r="168" spans="1:8" ht="13.5" thickBot="1">
      <c r="A168" s="1345" t="s">
        <v>97</v>
      </c>
      <c r="B168" s="1347"/>
      <c r="C168" s="438" t="s">
        <v>98</v>
      </c>
      <c r="D168" s="438" t="s">
        <v>99</v>
      </c>
      <c r="E168" s="442" t="s">
        <v>100</v>
      </c>
      <c r="F168" s="443" t="s">
        <v>83</v>
      </c>
      <c r="G168" s="444" t="s">
        <v>84</v>
      </c>
      <c r="H168" s="436"/>
    </row>
    <row r="169" spans="1:8">
      <c r="A169" s="478" t="s">
        <v>246</v>
      </c>
      <c r="B169" s="542">
        <v>4</v>
      </c>
      <c r="C169" s="479">
        <f>PERSONAL!$E$31</f>
        <v>48800</v>
      </c>
      <c r="D169" s="480">
        <f>PERSONAL!$F$31</f>
        <v>1.7431000000000001</v>
      </c>
      <c r="E169" s="440">
        <f>+D169*C169*B169</f>
        <v>340253.12</v>
      </c>
      <c r="F169" s="440">
        <v>8</v>
      </c>
      <c r="G169" s="445">
        <f>ROUND(E169/F169,0)</f>
        <v>42532</v>
      </c>
      <c r="H169" s="477"/>
    </row>
    <row r="170" spans="1:8">
      <c r="A170" s="478"/>
      <c r="B170" s="467"/>
      <c r="C170" s="479"/>
      <c r="D170" s="480"/>
      <c r="E170" s="440"/>
      <c r="F170" s="440"/>
      <c r="G170" s="445"/>
      <c r="H170" s="451"/>
    </row>
    <row r="171" spans="1:8">
      <c r="A171" s="478"/>
      <c r="B171" s="468"/>
      <c r="C171" s="430"/>
      <c r="D171" s="459"/>
      <c r="E171" s="430"/>
      <c r="F171" s="440"/>
      <c r="G171" s="445"/>
      <c r="H171" s="451"/>
    </row>
    <row r="172" spans="1:8">
      <c r="A172" s="478"/>
      <c r="B172" s="468"/>
      <c r="C172" s="430"/>
      <c r="D172" s="459"/>
      <c r="E172" s="430"/>
      <c r="F172" s="440"/>
      <c r="G172" s="445"/>
      <c r="H172" s="451"/>
    </row>
    <row r="173" spans="1:8" ht="13.5" thickBot="1">
      <c r="A173" s="481"/>
      <c r="B173" s="474"/>
      <c r="C173" s="474"/>
      <c r="D173" s="474"/>
      <c r="E173" s="474"/>
      <c r="F173" s="474"/>
      <c r="G173" s="482"/>
      <c r="H173" s="482"/>
    </row>
    <row r="174" spans="1:8" ht="13.5" thickBot="1">
      <c r="A174" s="436"/>
      <c r="B174" s="436"/>
      <c r="C174" s="436"/>
      <c r="D174" s="436"/>
      <c r="E174" s="436"/>
      <c r="F174" s="436"/>
      <c r="G174" s="437" t="s">
        <v>86</v>
      </c>
      <c r="H174" s="466">
        <f>SUM(G169:G172)</f>
        <v>42532</v>
      </c>
    </row>
    <row r="175" spans="1:8" ht="13.5" thickBot="1">
      <c r="A175" s="436"/>
      <c r="B175" s="436"/>
      <c r="C175" s="436"/>
      <c r="D175" s="436"/>
      <c r="E175" s="436"/>
      <c r="F175" s="436"/>
      <c r="G175" s="483"/>
      <c r="H175" s="436"/>
    </row>
    <row r="176" spans="1:8" ht="13.5" thickBot="1">
      <c r="A176" s="436"/>
      <c r="B176" s="436"/>
      <c r="C176" s="436"/>
      <c r="D176" s="436"/>
      <c r="E176" s="484" t="s">
        <v>102</v>
      </c>
      <c r="F176" s="485"/>
      <c r="G176" s="485"/>
      <c r="H176" s="466">
        <f>H154+H162+H166+H174</f>
        <v>561165.64333333331</v>
      </c>
    </row>
    <row r="177" spans="1:8" ht="13.5" thickBot="1">
      <c r="A177" s="450" t="s">
        <v>103</v>
      </c>
      <c r="B177" s="450"/>
      <c r="C177" s="436"/>
      <c r="D177" s="436"/>
      <c r="E177" s="436"/>
      <c r="F177" s="436"/>
      <c r="G177" s="436"/>
      <c r="H177" s="436"/>
    </row>
    <row r="178" spans="1:8">
      <c r="A178" s="487" t="s">
        <v>80</v>
      </c>
      <c r="B178" s="488"/>
      <c r="C178" s="488"/>
      <c r="D178" s="488"/>
      <c r="E178" s="489"/>
      <c r="F178" s="490" t="s">
        <v>104</v>
      </c>
      <c r="G178" s="491" t="s">
        <v>105</v>
      </c>
      <c r="H178" s="457"/>
    </row>
    <row r="179" spans="1:8">
      <c r="A179" s="469" t="s">
        <v>106</v>
      </c>
      <c r="B179" s="467"/>
      <c r="C179" s="467"/>
      <c r="D179" s="467"/>
      <c r="E179" s="468"/>
      <c r="F179" s="492">
        <f>PRESUPUESTO!$E$222</f>
        <v>0.109</v>
      </c>
      <c r="G179" s="493">
        <f>+F179*H176</f>
        <v>61167.055123333332</v>
      </c>
      <c r="H179" s="550"/>
    </row>
    <row r="180" spans="1:8">
      <c r="A180" s="469" t="s">
        <v>107</v>
      </c>
      <c r="B180" s="467"/>
      <c r="C180" s="467"/>
      <c r="D180" s="467"/>
      <c r="E180" s="468"/>
      <c r="F180" s="492">
        <f>PRESUPUESTO!$E$223</f>
        <v>0.05</v>
      </c>
      <c r="G180" s="493">
        <f>+F180*H176</f>
        <v>28058.282166666668</v>
      </c>
      <c r="H180" s="550"/>
    </row>
    <row r="181" spans="1:8" ht="13.5" thickBot="1">
      <c r="A181" s="472" t="s">
        <v>108</v>
      </c>
      <c r="B181" s="473"/>
      <c r="C181" s="473"/>
      <c r="D181" s="473"/>
      <c r="E181" s="474"/>
      <c r="F181" s="494">
        <v>0</v>
      </c>
      <c r="G181" s="495">
        <f>+F181*H176</f>
        <v>0</v>
      </c>
      <c r="H181" s="465"/>
    </row>
    <row r="182" spans="1:8" ht="13.5" thickBot="1">
      <c r="A182" s="436"/>
      <c r="B182" s="436"/>
      <c r="C182" s="436"/>
      <c r="D182" s="436"/>
      <c r="E182" s="436"/>
      <c r="F182" s="436"/>
      <c r="G182" s="437" t="s">
        <v>86</v>
      </c>
      <c r="H182" s="496">
        <f>SUM(G179:G181)</f>
        <v>89225.337289999996</v>
      </c>
    </row>
    <row r="183" spans="1:8" ht="13.5" thickBot="1">
      <c r="A183" s="436"/>
      <c r="B183" s="436"/>
      <c r="C183" s="436"/>
      <c r="D183" s="436"/>
      <c r="E183" s="436"/>
      <c r="F183" s="436"/>
      <c r="G183" s="436"/>
      <c r="H183" s="436"/>
    </row>
    <row r="184" spans="1:8" ht="13.5" thickBot="1">
      <c r="C184" s="436"/>
      <c r="D184" s="484" t="s">
        <v>109</v>
      </c>
      <c r="E184" s="485"/>
      <c r="F184" s="485"/>
      <c r="G184" s="485"/>
      <c r="H184" s="466">
        <f>ROUND((H176+H182),0)</f>
        <v>650391</v>
      </c>
    </row>
    <row r="185" spans="1:8" ht="13.5" thickBot="1"/>
    <row r="186" spans="1:8">
      <c r="A186" s="1348" t="s">
        <v>213</v>
      </c>
      <c r="B186" s="1349"/>
      <c r="C186" s="1350"/>
      <c r="D186" s="448"/>
      <c r="E186" s="448"/>
      <c r="F186" s="448"/>
      <c r="G186" s="448"/>
      <c r="H186" s="449"/>
    </row>
    <row r="187" spans="1:8">
      <c r="A187" s="1351"/>
      <c r="B187" s="1352"/>
      <c r="C187" s="1353"/>
      <c r="D187" s="436"/>
      <c r="E187" s="450" t="s">
        <v>78</v>
      </c>
      <c r="F187" s="436"/>
      <c r="G187" s="436"/>
      <c r="H187" s="451"/>
    </row>
    <row r="188" spans="1:8" ht="13.5" thickBot="1">
      <c r="A188" s="1354"/>
      <c r="B188" s="1355"/>
      <c r="C188" s="1356"/>
      <c r="D188" s="1360"/>
      <c r="E188" s="1361"/>
      <c r="F188" s="1361"/>
      <c r="G188" s="1361"/>
      <c r="H188" s="1362"/>
    </row>
    <row r="189" spans="1:8">
      <c r="A189" s="455"/>
      <c r="B189" s="436"/>
      <c r="C189" s="436"/>
      <c r="D189" s="436"/>
      <c r="E189" s="436"/>
      <c r="F189" s="436"/>
      <c r="G189" s="436"/>
      <c r="H189" s="436"/>
    </row>
    <row r="190" spans="1:8">
      <c r="A190" s="455" t="s">
        <v>224</v>
      </c>
      <c r="B190" s="456"/>
      <c r="C190" s="436"/>
      <c r="E190" s="456"/>
      <c r="G190" s="456" t="s">
        <v>222</v>
      </c>
      <c r="H190" s="436"/>
    </row>
    <row r="191" spans="1:8">
      <c r="A191" s="561" t="s">
        <v>772</v>
      </c>
      <c r="B191" s="562"/>
      <c r="C191" s="562"/>
      <c r="D191" s="562"/>
      <c r="E191" s="562"/>
      <c r="F191" s="562"/>
      <c r="G191" s="456" t="s">
        <v>223</v>
      </c>
      <c r="H191" s="436"/>
    </row>
    <row r="192" spans="1:8">
      <c r="A192" s="562"/>
      <c r="B192" s="562"/>
      <c r="C192" s="562"/>
      <c r="D192" s="562"/>
      <c r="E192" s="562"/>
      <c r="F192" s="562"/>
      <c r="G192" s="456"/>
      <c r="H192" s="436"/>
    </row>
    <row r="193" spans="1:8" ht="13.5" thickBot="1">
      <c r="A193" s="450" t="s">
        <v>79</v>
      </c>
      <c r="B193" s="450"/>
      <c r="C193" s="436"/>
      <c r="D193" s="436"/>
      <c r="E193" s="436"/>
      <c r="F193" s="436"/>
      <c r="G193" s="436"/>
      <c r="H193" s="436"/>
    </row>
    <row r="194" spans="1:8">
      <c r="A194" s="1345" t="s">
        <v>80</v>
      </c>
      <c r="B194" s="1346"/>
      <c r="C194" s="1347"/>
      <c r="D194" s="438" t="s">
        <v>81</v>
      </c>
      <c r="E194" s="438" t="s">
        <v>82</v>
      </c>
      <c r="F194" s="438" t="s">
        <v>83</v>
      </c>
      <c r="G194" s="439" t="s">
        <v>84</v>
      </c>
      <c r="H194" s="457"/>
    </row>
    <row r="195" spans="1:8">
      <c r="A195" s="1357" t="s">
        <v>85</v>
      </c>
      <c r="B195" s="1358"/>
      <c r="C195" s="1359"/>
      <c r="D195" s="459"/>
      <c r="E195" s="440"/>
      <c r="F195" s="440"/>
      <c r="G195" s="432">
        <f>ROUND(H218*0.05,0)</f>
        <v>2127</v>
      </c>
      <c r="H195" s="460"/>
    </row>
    <row r="196" spans="1:8" ht="13.5" thickBot="1">
      <c r="A196" s="1357" t="s">
        <v>262</v>
      </c>
      <c r="B196" s="1358"/>
      <c r="C196" s="1359"/>
      <c r="D196" s="461" t="s">
        <v>263</v>
      </c>
      <c r="E196" s="462">
        <v>39309.269999999997</v>
      </c>
      <c r="F196" s="434">
        <v>4.5</v>
      </c>
      <c r="G196" s="435">
        <f>+E196/F196</f>
        <v>8735.3933333333334</v>
      </c>
      <c r="H196" s="460"/>
    </row>
    <row r="197" spans="1:8" ht="13.5" thickBot="1">
      <c r="A197" s="1342"/>
      <c r="B197" s="1343"/>
      <c r="C197" s="1344"/>
      <c r="D197" s="464"/>
      <c r="E197" s="433"/>
      <c r="F197" s="434"/>
      <c r="G197" s="435"/>
      <c r="H197" s="465"/>
    </row>
    <row r="198" spans="1:8" ht="13.5" thickBot="1">
      <c r="A198" s="436"/>
      <c r="B198" s="436"/>
      <c r="C198" s="436"/>
      <c r="D198" s="436"/>
      <c r="E198" s="436"/>
      <c r="F198" s="436"/>
      <c r="G198" s="437" t="s">
        <v>86</v>
      </c>
      <c r="H198" s="466">
        <f>SUM(G195:G197)</f>
        <v>10862.393333333333</v>
      </c>
    </row>
    <row r="199" spans="1:8" ht="13.5" thickBot="1">
      <c r="A199" s="450" t="s">
        <v>87</v>
      </c>
      <c r="B199" s="450"/>
      <c r="C199" s="436"/>
      <c r="D199" s="436"/>
      <c r="E199" s="436"/>
      <c r="F199" s="436"/>
      <c r="G199" s="436"/>
      <c r="H199" s="436"/>
    </row>
    <row r="200" spans="1:8">
      <c r="A200" s="1345" t="s">
        <v>80</v>
      </c>
      <c r="B200" s="1346"/>
      <c r="C200" s="1347"/>
      <c r="D200" s="438" t="s">
        <v>88</v>
      </c>
      <c r="E200" s="438" t="s">
        <v>89</v>
      </c>
      <c r="F200" s="438" t="s">
        <v>90</v>
      </c>
      <c r="G200" s="444" t="s">
        <v>84</v>
      </c>
      <c r="H200" s="457"/>
    </row>
    <row r="201" spans="1:8">
      <c r="A201" s="458" t="s">
        <v>243</v>
      </c>
      <c r="B201" s="467"/>
      <c r="C201" s="468"/>
      <c r="D201" s="459" t="s">
        <v>91</v>
      </c>
      <c r="E201" s="430">
        <f>MATERIALES!$C$14</f>
        <v>97161.12</v>
      </c>
      <c r="F201" s="691">
        <v>0.67</v>
      </c>
      <c r="G201" s="445">
        <f>ROUND(F201*E201,0)</f>
        <v>65098</v>
      </c>
      <c r="H201" s="460"/>
    </row>
    <row r="202" spans="1:8">
      <c r="A202" s="469" t="s">
        <v>530</v>
      </c>
      <c r="B202" s="467"/>
      <c r="C202" s="468"/>
      <c r="D202" s="459" t="s">
        <v>91</v>
      </c>
      <c r="E202" s="430">
        <f>MATERIALES!$C$15</f>
        <v>108727.92</v>
      </c>
      <c r="F202" s="686">
        <v>0.67</v>
      </c>
      <c r="G202" s="445">
        <f>ROUND(F202*E202,0)</f>
        <v>72848</v>
      </c>
      <c r="H202" s="460"/>
    </row>
    <row r="203" spans="1:8">
      <c r="A203" s="469" t="s">
        <v>218</v>
      </c>
      <c r="B203" s="467"/>
      <c r="C203" s="468"/>
      <c r="D203" s="459" t="s">
        <v>219</v>
      </c>
      <c r="E203" s="674">
        <f>MATERIALES!$C$11</f>
        <v>37510</v>
      </c>
      <c r="F203" s="692">
        <v>8.4</v>
      </c>
      <c r="G203" s="445">
        <f>ROUND(F203*E203,0)</f>
        <v>315084</v>
      </c>
      <c r="H203" s="460"/>
    </row>
    <row r="204" spans="1:8">
      <c r="A204" s="469" t="s">
        <v>92</v>
      </c>
      <c r="B204" s="467"/>
      <c r="C204" s="468"/>
      <c r="D204" s="459" t="s">
        <v>220</v>
      </c>
      <c r="E204" s="430">
        <v>30</v>
      </c>
      <c r="F204" s="692">
        <v>190</v>
      </c>
      <c r="G204" s="445">
        <f>ROUND(F204*E204,0)</f>
        <v>5700</v>
      </c>
      <c r="H204" s="460"/>
    </row>
    <row r="205" spans="1:8" ht="13.5" thickBot="1">
      <c r="A205" s="499" t="s">
        <v>93</v>
      </c>
      <c r="B205" s="500"/>
      <c r="C205" s="558">
        <v>0.05</v>
      </c>
      <c r="D205" s="464"/>
      <c r="E205" s="433"/>
      <c r="F205" s="502"/>
      <c r="G205" s="441">
        <f>SUM(G201:G204)*C205</f>
        <v>22936.5</v>
      </c>
      <c r="H205" s="460"/>
    </row>
    <row r="206" spans="1:8" ht="13.5" thickBot="1">
      <c r="A206" s="436"/>
      <c r="B206" s="436"/>
      <c r="C206" s="436"/>
      <c r="D206" s="436"/>
      <c r="E206" s="436"/>
      <c r="F206" s="436"/>
      <c r="G206" s="437" t="s">
        <v>86</v>
      </c>
      <c r="H206" s="466">
        <f>SUM(G201:G205)</f>
        <v>481666.5</v>
      </c>
    </row>
    <row r="207" spans="1:8" ht="13.5" thickBot="1">
      <c r="A207" s="1345" t="s">
        <v>95</v>
      </c>
      <c r="B207" s="1346"/>
      <c r="C207" s="1347"/>
      <c r="D207" s="438" t="s">
        <v>88</v>
      </c>
      <c r="E207" s="438" t="s">
        <v>89</v>
      </c>
      <c r="F207" s="438" t="s">
        <v>90</v>
      </c>
      <c r="G207" s="439" t="s">
        <v>84</v>
      </c>
      <c r="H207" s="436"/>
    </row>
    <row r="208" spans="1:8">
      <c r="A208" s="1357" t="s">
        <v>666</v>
      </c>
      <c r="B208" s="1358"/>
      <c r="C208" s="1359"/>
      <c r="D208" s="689">
        <v>35000</v>
      </c>
      <c r="E208" s="553"/>
      <c r="F208" s="560">
        <f>+F201+F202</f>
        <v>1.34</v>
      </c>
      <c r="G208" s="440">
        <f>+D208*F208</f>
        <v>46900</v>
      </c>
      <c r="H208" s="457"/>
    </row>
    <row r="209" spans="1:8" ht="13.5" thickBot="1">
      <c r="A209" s="1342"/>
      <c r="B209" s="1343"/>
      <c r="C209" s="1344"/>
      <c r="D209" s="501"/>
      <c r="E209" s="501"/>
      <c r="F209" s="501"/>
      <c r="G209" s="555"/>
      <c r="H209" s="460"/>
    </row>
    <row r="210" spans="1:8" ht="13.5" thickBot="1">
      <c r="A210" s="436"/>
      <c r="B210" s="436"/>
      <c r="C210" s="436"/>
      <c r="D210" s="436"/>
      <c r="E210" s="436"/>
      <c r="F210" s="436"/>
      <c r="G210" s="437" t="s">
        <v>86</v>
      </c>
      <c r="H210" s="466">
        <f>SUM(G208:G209)</f>
        <v>46900</v>
      </c>
    </row>
    <row r="211" spans="1:8" ht="13.5" thickBot="1">
      <c r="A211" s="450" t="s">
        <v>96</v>
      </c>
      <c r="B211" s="450"/>
      <c r="C211" s="436"/>
      <c r="D211" s="436"/>
      <c r="E211" s="436"/>
      <c r="F211" s="436"/>
      <c r="G211" s="436"/>
    </row>
    <row r="212" spans="1:8" ht="13.5" thickBot="1">
      <c r="A212" s="1345" t="s">
        <v>97</v>
      </c>
      <c r="B212" s="1347"/>
      <c r="C212" s="438" t="s">
        <v>98</v>
      </c>
      <c r="D212" s="438" t="s">
        <v>99</v>
      </c>
      <c r="E212" s="442" t="s">
        <v>100</v>
      </c>
      <c r="F212" s="443" t="s">
        <v>83</v>
      </c>
      <c r="G212" s="444" t="s">
        <v>84</v>
      </c>
      <c r="H212" s="436"/>
    </row>
    <row r="213" spans="1:8">
      <c r="A213" s="478" t="s">
        <v>246</v>
      </c>
      <c r="B213" s="542">
        <v>4</v>
      </c>
      <c r="C213" s="479">
        <f>PERSONAL!$E$31</f>
        <v>48800</v>
      </c>
      <c r="D213" s="480">
        <f>PERSONAL!$F$31</f>
        <v>1.7431000000000001</v>
      </c>
      <c r="E213" s="440">
        <f>+D213*C213*B213</f>
        <v>340253.12</v>
      </c>
      <c r="F213" s="440">
        <v>8</v>
      </c>
      <c r="G213" s="445">
        <f>ROUND(E213/F213,0)</f>
        <v>42532</v>
      </c>
      <c r="H213" s="477"/>
    </row>
    <row r="214" spans="1:8">
      <c r="A214" s="478"/>
      <c r="B214" s="467"/>
      <c r="C214" s="479"/>
      <c r="D214" s="480"/>
      <c r="E214" s="440"/>
      <c r="F214" s="440"/>
      <c r="G214" s="445"/>
      <c r="H214" s="451"/>
    </row>
    <row r="215" spans="1:8">
      <c r="A215" s="478"/>
      <c r="B215" s="468"/>
      <c r="C215" s="430"/>
      <c r="D215" s="459"/>
      <c r="E215" s="430"/>
      <c r="F215" s="440"/>
      <c r="G215" s="445"/>
      <c r="H215" s="451"/>
    </row>
    <row r="216" spans="1:8">
      <c r="A216" s="478"/>
      <c r="B216" s="468"/>
      <c r="C216" s="430"/>
      <c r="D216" s="459"/>
      <c r="E216" s="430"/>
      <c r="F216" s="440"/>
      <c r="G216" s="445"/>
      <c r="H216" s="451"/>
    </row>
    <row r="217" spans="1:8" ht="13.5" thickBot="1">
      <c r="A217" s="481"/>
      <c r="B217" s="474"/>
      <c r="C217" s="474"/>
      <c r="D217" s="474"/>
      <c r="E217" s="474"/>
      <c r="F217" s="474"/>
      <c r="G217" s="482"/>
      <c r="H217" s="482"/>
    </row>
    <row r="218" spans="1:8" ht="13.5" thickBot="1">
      <c r="A218" s="436"/>
      <c r="B218" s="436"/>
      <c r="C218" s="436"/>
      <c r="D218" s="436"/>
      <c r="E218" s="436"/>
      <c r="F218" s="436"/>
      <c r="G218" s="437" t="s">
        <v>86</v>
      </c>
      <c r="H218" s="466">
        <f>SUM(G213:G216)</f>
        <v>42532</v>
      </c>
    </row>
    <row r="219" spans="1:8" ht="13.5" thickBot="1">
      <c r="A219" s="436"/>
      <c r="B219" s="436"/>
      <c r="C219" s="436"/>
      <c r="D219" s="436"/>
      <c r="E219" s="436"/>
      <c r="F219" s="436"/>
      <c r="G219" s="483"/>
      <c r="H219" s="436"/>
    </row>
    <row r="220" spans="1:8" ht="13.5" thickBot="1">
      <c r="A220" s="436"/>
      <c r="B220" s="436"/>
      <c r="C220" s="436"/>
      <c r="D220" s="436"/>
      <c r="E220" s="484" t="s">
        <v>102</v>
      </c>
      <c r="F220" s="485"/>
      <c r="G220" s="485"/>
      <c r="H220" s="466">
        <f>H198+H206+H210+H218</f>
        <v>581960.89333333331</v>
      </c>
    </row>
    <row r="221" spans="1:8" ht="13.5" thickBot="1">
      <c r="A221" s="450" t="s">
        <v>103</v>
      </c>
      <c r="B221" s="450"/>
      <c r="C221" s="436"/>
      <c r="D221" s="436"/>
      <c r="E221" s="436"/>
      <c r="F221" s="436"/>
      <c r="G221" s="436"/>
      <c r="H221" s="436"/>
    </row>
    <row r="222" spans="1:8">
      <c r="A222" s="487" t="s">
        <v>80</v>
      </c>
      <c r="B222" s="488"/>
      <c r="C222" s="488"/>
      <c r="D222" s="488"/>
      <c r="E222" s="489"/>
      <c r="F222" s="490" t="s">
        <v>104</v>
      </c>
      <c r="G222" s="491" t="s">
        <v>105</v>
      </c>
      <c r="H222" s="457"/>
    </row>
    <row r="223" spans="1:8">
      <c r="A223" s="469" t="s">
        <v>106</v>
      </c>
      <c r="B223" s="467"/>
      <c r="C223" s="467"/>
      <c r="D223" s="467"/>
      <c r="E223" s="468"/>
      <c r="F223" s="492">
        <f>PRESUPUESTO!$E$222</f>
        <v>0.109</v>
      </c>
      <c r="G223" s="493">
        <f>+F223*H220</f>
        <v>63433.73737333333</v>
      </c>
      <c r="H223" s="550"/>
    </row>
    <row r="224" spans="1:8">
      <c r="A224" s="469" t="s">
        <v>107</v>
      </c>
      <c r="B224" s="467"/>
      <c r="C224" s="467"/>
      <c r="D224" s="467"/>
      <c r="E224" s="468"/>
      <c r="F224" s="492">
        <f>PRESUPUESTO!$E$223</f>
        <v>0.05</v>
      </c>
      <c r="G224" s="493">
        <f>+F224*H220</f>
        <v>29098.044666666668</v>
      </c>
      <c r="H224" s="550"/>
    </row>
    <row r="225" spans="1:8" ht="13.5" thickBot="1">
      <c r="A225" s="472" t="s">
        <v>108</v>
      </c>
      <c r="B225" s="473"/>
      <c r="C225" s="473"/>
      <c r="D225" s="473"/>
      <c r="E225" s="474"/>
      <c r="F225" s="494">
        <v>0</v>
      </c>
      <c r="G225" s="495">
        <f>+F225*H220</f>
        <v>0</v>
      </c>
      <c r="H225" s="465"/>
    </row>
    <row r="226" spans="1:8" ht="13.5" thickBot="1">
      <c r="A226" s="436"/>
      <c r="B226" s="436"/>
      <c r="C226" s="436"/>
      <c r="D226" s="436"/>
      <c r="E226" s="436"/>
      <c r="F226" s="436"/>
      <c r="G226" s="437" t="s">
        <v>86</v>
      </c>
      <c r="H226" s="496">
        <f>SUM(G223:G225)</f>
        <v>92531.782039999991</v>
      </c>
    </row>
    <row r="227" spans="1:8" ht="13.5" thickBot="1">
      <c r="A227" s="436"/>
      <c r="B227" s="436"/>
      <c r="C227" s="436"/>
      <c r="D227" s="436"/>
      <c r="E227" s="436"/>
      <c r="F227" s="436"/>
      <c r="G227" s="436"/>
      <c r="H227" s="436"/>
    </row>
    <row r="228" spans="1:8" ht="13.5" thickBot="1">
      <c r="C228" s="436"/>
      <c r="D228" s="484" t="s">
        <v>109</v>
      </c>
      <c r="E228" s="485"/>
      <c r="F228" s="485"/>
      <c r="G228" s="485"/>
      <c r="H228" s="466">
        <f>ROUND((H220+H226),0)</f>
        <v>674493</v>
      </c>
    </row>
  </sheetData>
  <mergeCells count="51">
    <mergeCell ref="A165:C165"/>
    <mergeCell ref="A168:B168"/>
    <mergeCell ref="A151:C151"/>
    <mergeCell ref="A152:C152"/>
    <mergeCell ref="A153:C153"/>
    <mergeCell ref="A156:C156"/>
    <mergeCell ref="A164:C164"/>
    <mergeCell ref="A163:C163"/>
    <mergeCell ref="A150:C150"/>
    <mergeCell ref="D98:H98"/>
    <mergeCell ref="A104:C104"/>
    <mergeCell ref="A105:C105"/>
    <mergeCell ref="A106:C106"/>
    <mergeCell ref="A109:C109"/>
    <mergeCell ref="A96:C98"/>
    <mergeCell ref="A117:C117"/>
    <mergeCell ref="A118:C118"/>
    <mergeCell ref="A119:C119"/>
    <mergeCell ref="A142:C144"/>
    <mergeCell ref="D144:H144"/>
    <mergeCell ref="A73:C73"/>
    <mergeCell ref="A17:C17"/>
    <mergeCell ref="A63:C63"/>
    <mergeCell ref="A76:B76"/>
    <mergeCell ref="A58:C58"/>
    <mergeCell ref="A59:C59"/>
    <mergeCell ref="A60:C60"/>
    <mergeCell ref="A71:C71"/>
    <mergeCell ref="A72:C72"/>
    <mergeCell ref="A27:C27"/>
    <mergeCell ref="A26:C26"/>
    <mergeCell ref="A25:C25"/>
    <mergeCell ref="A50:C52"/>
    <mergeCell ref="D52:H52"/>
    <mergeCell ref="A3:C5"/>
    <mergeCell ref="D5:H5"/>
    <mergeCell ref="A11:C11"/>
    <mergeCell ref="A12:C12"/>
    <mergeCell ref="A13:C13"/>
    <mergeCell ref="A14:C14"/>
    <mergeCell ref="A186:C188"/>
    <mergeCell ref="D188:H188"/>
    <mergeCell ref="A194:C194"/>
    <mergeCell ref="A195:C195"/>
    <mergeCell ref="A196:C196"/>
    <mergeCell ref="A212:B212"/>
    <mergeCell ref="A197:C197"/>
    <mergeCell ref="A200:C200"/>
    <mergeCell ref="A207:C207"/>
    <mergeCell ref="A208:C208"/>
    <mergeCell ref="A209:C209"/>
  </mergeCells>
  <hyperlinks>
    <hyperlink ref="A1" r:id="rId1" location="PRESUPUESTO!A1" xr:uid="{00000000-0004-0000-0600-000000000000}"/>
    <hyperlink ref="A48" r:id="rId2" location="PRESUPUESTO!A1" xr:uid="{00000000-0004-0000-0600-000001000000}"/>
    <hyperlink ref="A94" r:id="rId3" location="PRESUPUESTO!A1" xr:uid="{00000000-0004-0000-0600-000002000000}"/>
    <hyperlink ref="A140" r:id="rId4" location="PRESUPUESTO!A1" xr:uid="{00000000-0004-0000-0600-000003000000}"/>
  </hyperlinks>
  <printOptions horizontalCentered="1" verticalCentered="1"/>
  <pageMargins left="1.1811023622047245" right="0.39370078740157483" top="0.39370078740157483" bottom="1.1811023622047245" header="0.39370078740157483" footer="0"/>
  <pageSetup scale="95" orientation="portrait" r:id="rId5"/>
  <headerFooter alignWithMargins="0">
    <oddHeader>&amp;L&amp;G&amp;C&amp;18PRESUPUESTO COPACABANA&amp;R&amp;G</oddHeader>
  </headerFooter>
  <rowBreaks count="4" manualBreakCount="4">
    <brk id="47" max="16383" man="1"/>
    <brk id="93" max="16383" man="1"/>
    <brk id="139" max="16383" man="1"/>
    <brk id="185" max="16383" man="1"/>
  </rowBreaks>
  <legacyDrawingHF r:id="rId6"/>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CC"/>
  </sheetPr>
  <dimension ref="A1:O34"/>
  <sheetViews>
    <sheetView view="pageBreakPreview" zoomScale="115" zoomScaleNormal="100" zoomScaleSheetLayoutView="115" workbookViewId="0">
      <selection activeCell="G34" sqref="G34"/>
    </sheetView>
  </sheetViews>
  <sheetFormatPr baseColWidth="10" defaultColWidth="11.42578125" defaultRowHeight="12.75"/>
  <cols>
    <col min="1" max="1" width="29.85546875" style="245" customWidth="1"/>
    <col min="2" max="2" width="17.140625" style="245" customWidth="1"/>
    <col min="3" max="3" width="13.140625" style="245" customWidth="1"/>
    <col min="4" max="4" width="16.7109375" style="245" customWidth="1"/>
    <col min="5" max="5" width="16.42578125" style="245" customWidth="1"/>
    <col min="6" max="6" width="12.7109375" style="245" customWidth="1"/>
    <col min="7" max="16384" width="11.42578125" style="245"/>
  </cols>
  <sheetData>
    <row r="1" spans="1:15" ht="15.75" customHeight="1" thickBot="1">
      <c r="A1" s="1520" t="s">
        <v>315</v>
      </c>
      <c r="B1" s="1521"/>
      <c r="C1" s="1521"/>
      <c r="D1" s="1521"/>
      <c r="E1" s="1522"/>
      <c r="G1" s="259"/>
      <c r="H1" s="259"/>
      <c r="I1" s="259"/>
      <c r="J1" s="259"/>
      <c r="K1" s="259"/>
    </row>
    <row r="2" spans="1:15" ht="13.5" thickTop="1">
      <c r="A2" s="51" t="s">
        <v>361</v>
      </c>
      <c r="B2" s="420">
        <v>1300000</v>
      </c>
      <c r="C2" s="257"/>
      <c r="D2" s="257"/>
      <c r="E2" s="262">
        <v>100</v>
      </c>
      <c r="H2" s="246"/>
      <c r="I2" s="246"/>
      <c r="J2" s="246"/>
      <c r="K2" s="246"/>
      <c r="L2" s="246"/>
      <c r="M2" s="246"/>
      <c r="N2" s="246"/>
      <c r="O2" s="246"/>
    </row>
    <row r="3" spans="1:15">
      <c r="A3" s="51" t="s">
        <v>362</v>
      </c>
      <c r="B3" s="188">
        <f>B2*12</f>
        <v>15600000</v>
      </c>
      <c r="C3" s="248"/>
      <c r="D3" s="248"/>
      <c r="E3" s="263"/>
    </row>
    <row r="4" spans="1:15">
      <c r="A4" s="51" t="s">
        <v>363</v>
      </c>
      <c r="B4" s="420">
        <v>162000</v>
      </c>
      <c r="C4" s="248"/>
      <c r="D4" s="248"/>
      <c r="E4" s="264">
        <f>B5/B3*100</f>
        <v>12.461538461538462</v>
      </c>
    </row>
    <row r="5" spans="1:15">
      <c r="A5" s="247" t="s">
        <v>364</v>
      </c>
      <c r="B5" s="243">
        <f>B4*12</f>
        <v>1944000</v>
      </c>
      <c r="C5" s="248"/>
      <c r="D5" s="248"/>
      <c r="E5" s="265"/>
    </row>
    <row r="6" spans="1:15">
      <c r="A6" s="248"/>
      <c r="B6" s="249"/>
      <c r="C6" s="248"/>
      <c r="D6" s="248"/>
      <c r="E6" s="264"/>
    </row>
    <row r="7" spans="1:15">
      <c r="A7" s="247" t="s">
        <v>365</v>
      </c>
      <c r="B7" s="247" t="s">
        <v>366</v>
      </c>
      <c r="C7" s="247" t="s">
        <v>233</v>
      </c>
      <c r="D7" s="247" t="s">
        <v>323</v>
      </c>
      <c r="E7" s="266"/>
    </row>
    <row r="8" spans="1:15">
      <c r="A8" s="248" t="s">
        <v>367</v>
      </c>
      <c r="B8" s="250" t="s">
        <v>368</v>
      </c>
      <c r="C8" s="250">
        <v>36</v>
      </c>
      <c r="D8" s="251">
        <f>(B2+B4)/30*36</f>
        <v>1754400</v>
      </c>
      <c r="E8" s="264">
        <f>D8/B3*100</f>
        <v>11.246153846153845</v>
      </c>
    </row>
    <row r="9" spans="1:15">
      <c r="A9" s="248" t="s">
        <v>369</v>
      </c>
      <c r="B9" s="250" t="s">
        <v>370</v>
      </c>
      <c r="C9" s="252">
        <v>0.12</v>
      </c>
      <c r="D9" s="251">
        <f>D8*0.12</f>
        <v>210528</v>
      </c>
      <c r="E9" s="264">
        <f>D9/B3*100</f>
        <v>1.3495384615384616</v>
      </c>
    </row>
    <row r="10" spans="1:15">
      <c r="A10" s="248" t="s">
        <v>371</v>
      </c>
      <c r="B10" s="251">
        <f>B2</f>
        <v>1300000</v>
      </c>
      <c r="C10" s="252">
        <v>0.5</v>
      </c>
      <c r="D10" s="251">
        <f>B2/30*20</f>
        <v>866666.66666666674</v>
      </c>
      <c r="E10" s="264">
        <f>D10/B3*100</f>
        <v>5.5555555555555562</v>
      </c>
    </row>
    <row r="11" spans="1:15">
      <c r="A11" s="248" t="s">
        <v>372</v>
      </c>
      <c r="B11" s="251">
        <f>B4+B2</f>
        <v>1462000</v>
      </c>
      <c r="C11" s="252">
        <v>1</v>
      </c>
      <c r="D11" s="251">
        <f>B2+B4</f>
        <v>1462000</v>
      </c>
      <c r="E11" s="264">
        <f>D11/B3*100</f>
        <v>9.3717948717948723</v>
      </c>
    </row>
    <row r="12" spans="1:15">
      <c r="A12" s="248"/>
      <c r="B12" s="250"/>
      <c r="C12" s="250"/>
      <c r="D12" s="250"/>
      <c r="E12" s="264"/>
    </row>
    <row r="13" spans="1:15">
      <c r="A13" s="247" t="s">
        <v>373</v>
      </c>
      <c r="B13" s="247"/>
      <c r="C13" s="247"/>
      <c r="D13" s="247"/>
      <c r="E13" s="266"/>
    </row>
    <row r="14" spans="1:15">
      <c r="A14" s="248" t="s">
        <v>383</v>
      </c>
      <c r="B14" s="250"/>
      <c r="C14" s="250"/>
      <c r="D14" s="251">
        <v>300000</v>
      </c>
      <c r="E14" s="264">
        <f>D14/B3*100</f>
        <v>1.9230769230769231</v>
      </c>
    </row>
    <row r="15" spans="1:15">
      <c r="A15" s="248"/>
      <c r="B15" s="250"/>
      <c r="C15" s="250"/>
      <c r="D15" s="250"/>
      <c r="E15" s="267"/>
    </row>
    <row r="16" spans="1:15">
      <c r="A16" s="247" t="s">
        <v>374</v>
      </c>
      <c r="B16" s="247"/>
      <c r="C16" s="247"/>
      <c r="D16" s="247"/>
      <c r="E16" s="266"/>
    </row>
    <row r="17" spans="1:6">
      <c r="A17" s="248" t="s">
        <v>375</v>
      </c>
      <c r="B17" s="251">
        <f>B2</f>
        <v>1300000</v>
      </c>
      <c r="C17" s="652">
        <v>0.12</v>
      </c>
      <c r="D17" s="251">
        <f>B3*C17</f>
        <v>1872000</v>
      </c>
      <c r="E17" s="264">
        <f>D17/B3*100</f>
        <v>12</v>
      </c>
    </row>
    <row r="18" spans="1:6">
      <c r="A18" s="248" t="s">
        <v>376</v>
      </c>
      <c r="B18" s="251">
        <f>B2</f>
        <v>1300000</v>
      </c>
      <c r="C18" s="653">
        <v>8.5000000000000006E-2</v>
      </c>
      <c r="D18" s="251">
        <f>B3*C18</f>
        <v>1326000</v>
      </c>
      <c r="E18" s="264">
        <f>D18/B3*100</f>
        <v>8.5</v>
      </c>
    </row>
    <row r="19" spans="1:6">
      <c r="A19" s="248" t="s">
        <v>377</v>
      </c>
      <c r="B19" s="251">
        <f>B2</f>
        <v>1300000</v>
      </c>
      <c r="C19" s="254">
        <v>6.9599999999999995E-2</v>
      </c>
      <c r="D19" s="251">
        <f>B3*C19</f>
        <v>1085760</v>
      </c>
      <c r="E19" s="267">
        <f>D19/B3*100</f>
        <v>6.9599999999999991</v>
      </c>
    </row>
    <row r="20" spans="1:6">
      <c r="A20" s="248"/>
      <c r="B20" s="250"/>
      <c r="C20" s="250"/>
      <c r="D20" s="250"/>
      <c r="E20" s="267"/>
    </row>
    <row r="21" spans="1:6">
      <c r="A21" s="247" t="s">
        <v>378</v>
      </c>
      <c r="B21" s="247"/>
      <c r="C21" s="247"/>
      <c r="D21" s="247"/>
      <c r="E21" s="266"/>
    </row>
    <row r="22" spans="1:6">
      <c r="A22" s="248" t="s">
        <v>379</v>
      </c>
      <c r="B22" s="251">
        <f>B2</f>
        <v>1300000</v>
      </c>
      <c r="C22" s="252">
        <v>0.03</v>
      </c>
      <c r="D22" s="251">
        <f>B3*0.03</f>
        <v>468000</v>
      </c>
      <c r="E22" s="267">
        <f>D22/B3*100</f>
        <v>3</v>
      </c>
    </row>
    <row r="23" spans="1:6">
      <c r="A23" s="248" t="s">
        <v>380</v>
      </c>
      <c r="B23" s="251">
        <f>B2</f>
        <v>1300000</v>
      </c>
      <c r="C23" s="252">
        <v>0.02</v>
      </c>
      <c r="D23" s="251">
        <f>B3*0.02</f>
        <v>312000</v>
      </c>
      <c r="E23" s="267">
        <f>D23/B3*100</f>
        <v>2</v>
      </c>
    </row>
    <row r="24" spans="1:6">
      <c r="A24" s="248" t="s">
        <v>381</v>
      </c>
      <c r="B24" s="251">
        <f>B2</f>
        <v>1300000</v>
      </c>
      <c r="C24" s="252">
        <v>0.04</v>
      </c>
      <c r="D24" s="251">
        <f>B3*0.04</f>
        <v>624000</v>
      </c>
      <c r="E24" s="267">
        <f>D24/B3*100</f>
        <v>4</v>
      </c>
    </row>
    <row r="25" spans="1:6">
      <c r="A25" s="248" t="s">
        <v>382</v>
      </c>
      <c r="B25" s="251">
        <f>B2</f>
        <v>1300000</v>
      </c>
      <c r="C25" s="253">
        <v>2.5000000000000001E-2</v>
      </c>
      <c r="D25" s="251">
        <f>B3*0.025</f>
        <v>390000</v>
      </c>
      <c r="E25" s="267">
        <f>D25/B3*100</f>
        <v>2.5</v>
      </c>
    </row>
    <row r="26" spans="1:6">
      <c r="A26" s="248"/>
      <c r="B26" s="248"/>
      <c r="C26" s="248"/>
      <c r="D26" s="255" t="s">
        <v>23</v>
      </c>
      <c r="E26" s="256">
        <f>SUM(E4:E25)/100</f>
        <v>0.80867658119658115</v>
      </c>
    </row>
    <row r="29" spans="1:6" ht="13.5" thickBot="1">
      <c r="A29" s="1519" t="s">
        <v>384</v>
      </c>
      <c r="B29" s="1519"/>
      <c r="C29" s="1519"/>
      <c r="D29" s="1519"/>
      <c r="E29" s="1519"/>
      <c r="F29" s="1519"/>
    </row>
    <row r="30" spans="1:6" ht="14.25" thickTop="1" thickBot="1">
      <c r="A30" s="258" t="s">
        <v>228</v>
      </c>
      <c r="B30" s="258" t="s">
        <v>229</v>
      </c>
      <c r="C30" s="258" t="s">
        <v>230</v>
      </c>
      <c r="D30" s="258" t="s">
        <v>231</v>
      </c>
      <c r="E30" s="258" t="s">
        <v>232</v>
      </c>
      <c r="F30" s="258" t="s">
        <v>233</v>
      </c>
    </row>
    <row r="31" spans="1:6" ht="13.5" thickTop="1">
      <c r="A31" s="51" t="s">
        <v>225</v>
      </c>
      <c r="B31" s="188">
        <f>B2+B4</f>
        <v>1462000</v>
      </c>
      <c r="C31" s="189">
        <f>8*30</f>
        <v>240</v>
      </c>
      <c r="D31" s="188">
        <f>ROUNDUP(B31/C31,-2)</f>
        <v>6100</v>
      </c>
      <c r="E31" s="188">
        <f>+D31*8</f>
        <v>48800</v>
      </c>
      <c r="F31" s="191">
        <f>1+74.31%</f>
        <v>1.7431000000000001</v>
      </c>
    </row>
    <row r="32" spans="1:6">
      <c r="A32" s="33" t="s">
        <v>226</v>
      </c>
      <c r="B32" s="654">
        <v>2600000</v>
      </c>
      <c r="C32" s="189">
        <f>8*30</f>
        <v>240</v>
      </c>
      <c r="D32" s="190">
        <f>ROUNDUP(B32/C32,-2)</f>
        <v>10900</v>
      </c>
      <c r="E32" s="190">
        <f>+D32*8</f>
        <v>87200</v>
      </c>
      <c r="F32" s="191">
        <f>+F31</f>
        <v>1.7431000000000001</v>
      </c>
    </row>
    <row r="33" spans="1:6">
      <c r="A33" s="51" t="s">
        <v>1107</v>
      </c>
      <c r="B33" s="188">
        <f>+B31*1.15</f>
        <v>1681299.9999999998</v>
      </c>
      <c r="C33" s="189">
        <f>8*30</f>
        <v>240</v>
      </c>
      <c r="D33" s="188">
        <f>ROUNDUP(B33/C33,-2)</f>
        <v>7100</v>
      </c>
      <c r="E33" s="188">
        <f>+D33*8</f>
        <v>56800</v>
      </c>
      <c r="F33" s="191">
        <f>1+74.31%</f>
        <v>1.7431000000000001</v>
      </c>
    </row>
    <row r="34" spans="1:6">
      <c r="A34" s="33" t="s">
        <v>1108</v>
      </c>
      <c r="B34" s="654">
        <f>+B32*1.15</f>
        <v>2990000</v>
      </c>
      <c r="C34" s="189">
        <f>8*30</f>
        <v>240</v>
      </c>
      <c r="D34" s="190">
        <f>ROUNDUP(B34/C34,-2)</f>
        <v>12500</v>
      </c>
      <c r="E34" s="190">
        <f>+D34*8</f>
        <v>100000</v>
      </c>
      <c r="F34" s="191">
        <f>+F33</f>
        <v>1.7431000000000001</v>
      </c>
    </row>
  </sheetData>
  <mergeCells count="2">
    <mergeCell ref="A29:F29"/>
    <mergeCell ref="A1:E1"/>
  </mergeCells>
  <pageMargins left="0.70866141732283472" right="0.70866141732283472" top="1.3385826771653544" bottom="0.74803149606299213" header="0.31496062992125984" footer="0.31496062992125984"/>
  <pageSetup paperSize="9" scale="82" orientation="portrait" horizontalDpi="4294967295" verticalDpi="4294967295" r:id="rId1"/>
  <headerFooter>
    <oddHeader>&amp;L&amp;G&amp;C&amp;18PRESUPUESTO COPACABANA&amp;R&amp;G</oddHead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EAE19-53F0-4087-9EC1-29BEE93BC5DA}">
  <sheetPr>
    <tabColor rgb="FFFFFFCC"/>
  </sheetPr>
  <dimension ref="A1:E32"/>
  <sheetViews>
    <sheetView zoomScale="175" zoomScaleNormal="175" workbookViewId="0">
      <selection activeCell="A18" sqref="A18"/>
    </sheetView>
  </sheetViews>
  <sheetFormatPr baseColWidth="10" defaultColWidth="11.42578125" defaultRowHeight="12.75"/>
  <cols>
    <col min="1" max="1" width="21.42578125" style="187" customWidth="1"/>
    <col min="2" max="2" width="7.140625" style="187" bestFit="1" customWidth="1"/>
    <col min="3" max="3" width="13.140625" style="187" customWidth="1"/>
    <col min="4" max="4" width="7.140625" style="187" customWidth="1"/>
    <col min="5" max="16384" width="11.42578125" style="187"/>
  </cols>
  <sheetData>
    <row r="1" spans="1:5" ht="13.5" thickBot="1">
      <c r="A1" s="1519" t="s">
        <v>318</v>
      </c>
      <c r="B1" s="1519"/>
      <c r="C1" s="1519"/>
    </row>
    <row r="2" spans="1:5" ht="13.5" thickTop="1">
      <c r="A2" s="244" t="s">
        <v>324</v>
      </c>
      <c r="B2" s="244" t="s">
        <v>9</v>
      </c>
      <c r="C2" s="244" t="s">
        <v>323</v>
      </c>
    </row>
    <row r="3" spans="1:5">
      <c r="A3" s="1523" t="s">
        <v>319</v>
      </c>
      <c r="B3" s="1524"/>
      <c r="C3" s="1525"/>
    </row>
    <row r="4" spans="1:5" ht="13.5">
      <c r="A4" s="51" t="s">
        <v>320</v>
      </c>
      <c r="B4" s="240" t="s">
        <v>325</v>
      </c>
      <c r="C4" s="188">
        <v>14500</v>
      </c>
    </row>
    <row r="5" spans="1:5" ht="13.5">
      <c r="A5" s="33" t="s">
        <v>321</v>
      </c>
      <c r="B5" s="240" t="s">
        <v>325</v>
      </c>
      <c r="C5" s="188">
        <v>13900</v>
      </c>
    </row>
    <row r="6" spans="1:5" ht="13.5">
      <c r="A6" s="33" t="s">
        <v>322</v>
      </c>
      <c r="B6" s="240" t="s">
        <v>325</v>
      </c>
      <c r="C6" s="188">
        <v>35000</v>
      </c>
    </row>
    <row r="7" spans="1:5" ht="13.5">
      <c r="A7" s="33" t="s">
        <v>334</v>
      </c>
      <c r="B7" s="240" t="s">
        <v>325</v>
      </c>
      <c r="C7" s="188">
        <v>12500</v>
      </c>
    </row>
    <row r="8" spans="1:5" ht="13.5">
      <c r="A8" s="33" t="s">
        <v>335</v>
      </c>
      <c r="B8" s="240" t="s">
        <v>325</v>
      </c>
      <c r="C8" s="188">
        <v>32500</v>
      </c>
    </row>
    <row r="9" spans="1:5" ht="13.5">
      <c r="A9" s="241" t="s">
        <v>533</v>
      </c>
      <c r="B9" s="242" t="s">
        <v>325</v>
      </c>
      <c r="C9" s="243">
        <v>35000</v>
      </c>
    </row>
    <row r="10" spans="1:5">
      <c r="A10" s="1526" t="s">
        <v>327</v>
      </c>
      <c r="B10" s="1527"/>
      <c r="C10" s="1528"/>
    </row>
    <row r="11" spans="1:5" ht="13.5">
      <c r="A11" s="51" t="s">
        <v>326</v>
      </c>
      <c r="B11" s="240" t="s">
        <v>331</v>
      </c>
      <c r="C11" s="420">
        <f>37510</f>
        <v>37510</v>
      </c>
      <c r="D11" s="690"/>
      <c r="E11" s="690"/>
    </row>
    <row r="12" spans="1:5" ht="13.5">
      <c r="A12" s="33" t="s">
        <v>328</v>
      </c>
      <c r="B12" s="240" t="s">
        <v>118</v>
      </c>
      <c r="C12" s="188">
        <v>160000</v>
      </c>
    </row>
    <row r="13" spans="1:5" ht="13.5">
      <c r="A13" s="33" t="s">
        <v>329</v>
      </c>
      <c r="B13" s="240" t="s">
        <v>118</v>
      </c>
      <c r="C13" s="188">
        <v>160000</v>
      </c>
    </row>
    <row r="14" spans="1:5" ht="13.5">
      <c r="A14" s="33" t="s">
        <v>330</v>
      </c>
      <c r="B14" s="240" t="s">
        <v>118</v>
      </c>
      <c r="C14" s="647">
        <f>42000*1.8*1.08*1.19</f>
        <v>97161.12</v>
      </c>
    </row>
    <row r="15" spans="1:5" ht="13.5">
      <c r="A15" s="33" t="s">
        <v>497</v>
      </c>
      <c r="B15" s="240" t="s">
        <v>118</v>
      </c>
      <c r="C15" s="647">
        <f>47000*1.8*1.08*1.19</f>
        <v>108727.92</v>
      </c>
    </row>
    <row r="16" spans="1:5" ht="13.5">
      <c r="A16" s="33" t="s">
        <v>558</v>
      </c>
      <c r="B16" s="240" t="s">
        <v>118</v>
      </c>
      <c r="C16" s="647">
        <f>44000*1.8*1.19*1.05</f>
        <v>98960.400000000009</v>
      </c>
    </row>
    <row r="17" spans="1:3" ht="13.5">
      <c r="A17" s="33" t="s">
        <v>338</v>
      </c>
      <c r="B17" s="240" t="s">
        <v>37</v>
      </c>
      <c r="C17" s="721">
        <f>4600*1.19</f>
        <v>5474</v>
      </c>
    </row>
    <row r="18" spans="1:3" ht="13.5">
      <c r="A18" s="33" t="s">
        <v>339</v>
      </c>
      <c r="B18" s="240" t="s">
        <v>37</v>
      </c>
      <c r="C18" s="420">
        <f>5300*1.19</f>
        <v>6307</v>
      </c>
    </row>
    <row r="19" spans="1:3" ht="13.5">
      <c r="A19" s="33" t="s">
        <v>340</v>
      </c>
      <c r="B19" s="240" t="s">
        <v>19</v>
      </c>
      <c r="C19" s="188">
        <v>250000</v>
      </c>
    </row>
    <row r="20" spans="1:3" ht="13.5">
      <c r="A20" s="33" t="s">
        <v>342</v>
      </c>
      <c r="B20" s="240" t="s">
        <v>344</v>
      </c>
      <c r="C20" s="420">
        <v>270000</v>
      </c>
    </row>
    <row r="21" spans="1:3" ht="13.5">
      <c r="A21" s="33" t="s">
        <v>343</v>
      </c>
      <c r="B21" s="240" t="s">
        <v>345</v>
      </c>
      <c r="C21" s="420">
        <v>486900</v>
      </c>
    </row>
    <row r="22" spans="1:3" ht="13.5">
      <c r="A22" s="33" t="s">
        <v>346</v>
      </c>
      <c r="B22" s="240" t="s">
        <v>344</v>
      </c>
      <c r="C22" s="420">
        <v>156900</v>
      </c>
    </row>
    <row r="23" spans="1:3" ht="13.5">
      <c r="A23" s="33" t="s">
        <v>355</v>
      </c>
      <c r="B23" s="240" t="s">
        <v>47</v>
      </c>
      <c r="C23" s="188">
        <f>3208*1.19</f>
        <v>3817.52</v>
      </c>
    </row>
    <row r="24" spans="1:3" ht="13.5">
      <c r="A24" s="33" t="s">
        <v>357</v>
      </c>
      <c r="B24" s="240" t="s">
        <v>47</v>
      </c>
      <c r="C24" s="188">
        <f>3208*1.19</f>
        <v>3817.52</v>
      </c>
    </row>
    <row r="25" spans="1:3" ht="13.5">
      <c r="A25" s="33" t="s">
        <v>554</v>
      </c>
      <c r="B25" s="240" t="s">
        <v>47</v>
      </c>
      <c r="C25" s="647">
        <v>587957</v>
      </c>
    </row>
    <row r="26" spans="1:3" ht="13.5">
      <c r="A26" s="33" t="s">
        <v>555</v>
      </c>
      <c r="B26" s="240" t="s">
        <v>47</v>
      </c>
      <c r="C26" s="420">
        <v>402559</v>
      </c>
    </row>
    <row r="27" spans="1:3" ht="13.5">
      <c r="A27" s="33" t="s">
        <v>556</v>
      </c>
      <c r="B27" s="240" t="s">
        <v>47</v>
      </c>
      <c r="C27" s="420">
        <v>281608</v>
      </c>
    </row>
    <row r="28" spans="1:3" ht="13.5">
      <c r="A28" s="33" t="s">
        <v>557</v>
      </c>
      <c r="B28" s="240" t="s">
        <v>47</v>
      </c>
      <c r="C28" s="420">
        <v>132298</v>
      </c>
    </row>
    <row r="29" spans="1:3" ht="13.5">
      <c r="A29" s="33"/>
      <c r="B29" s="240"/>
      <c r="C29" s="188"/>
    </row>
    <row r="30" spans="1:3" ht="13.5">
      <c r="A30" s="33"/>
      <c r="B30" s="240"/>
      <c r="C30" s="188"/>
    </row>
    <row r="31" spans="1:3" ht="13.5">
      <c r="A31" s="33"/>
      <c r="B31" s="240"/>
      <c r="C31" s="188"/>
    </row>
    <row r="32" spans="1:3" ht="13.5">
      <c r="A32" s="33"/>
      <c r="B32" s="240"/>
      <c r="C32" s="188"/>
    </row>
  </sheetData>
  <mergeCells count="3">
    <mergeCell ref="A1:C1"/>
    <mergeCell ref="A3:C3"/>
    <mergeCell ref="A10:C10"/>
  </mergeCells>
  <phoneticPr fontId="26" type="noConversion"/>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18</vt:i4>
      </vt:variant>
    </vt:vector>
  </HeadingPairs>
  <TitlesOfParts>
    <vt:vector size="41" baseType="lpstr">
      <vt:lpstr>CALCULO AU</vt:lpstr>
      <vt:lpstr>INTERVENTORÍA</vt:lpstr>
      <vt:lpstr>PRESUPUESTO</vt:lpstr>
      <vt:lpstr>FACTOR MULTIPLICADOR</vt:lpstr>
      <vt:lpstr>MEMORIAS CANT</vt:lpstr>
      <vt:lpstr>1. APU PRELIMINARES</vt:lpstr>
      <vt:lpstr>2. APU EXCAVACIONES</vt:lpstr>
      <vt:lpstr>3. APU CONCRETOS</vt:lpstr>
      <vt:lpstr>4. APU ACEROS</vt:lpstr>
      <vt:lpstr>5. APU MAMPOSTERIA</vt:lpstr>
      <vt:lpstr>6. APU ELECTRICOS</vt:lpstr>
      <vt:lpstr>7. APU HIDROSANITARIO</vt:lpstr>
      <vt:lpstr>8. APU CUBIERTAS</vt:lpstr>
      <vt:lpstr>9. APU PISOS</vt:lpstr>
      <vt:lpstr>10. APU PINTURA</vt:lpstr>
      <vt:lpstr>11. APU APARATOS</vt:lpstr>
      <vt:lpstr>12. APU EXTERIORES</vt:lpstr>
      <vt:lpstr>13. APU AMOBLAMIENTO</vt:lpstr>
      <vt:lpstr>14. APU CARP. METAL</vt:lpstr>
      <vt:lpstr>15. ANEXO SST-PMT-PMA</vt:lpstr>
      <vt:lpstr>APA</vt:lpstr>
      <vt:lpstr>PERSONAL</vt:lpstr>
      <vt:lpstr>MATERIALES</vt:lpstr>
      <vt:lpstr>'1. APU PRELIMINARES'!Área_de_impresión</vt:lpstr>
      <vt:lpstr>'10. APU PINTURA'!Área_de_impresión</vt:lpstr>
      <vt:lpstr>'13. APU AMOBLAMIENTO'!Área_de_impresión</vt:lpstr>
      <vt:lpstr>'3. APU CONCRETOS'!Área_de_impresión</vt:lpstr>
      <vt:lpstr>'4. APU ACEROS'!Área_de_impresión</vt:lpstr>
      <vt:lpstr>'5. APU MAMPOSTERIA'!Área_de_impresión</vt:lpstr>
      <vt:lpstr>'6. APU ELECTRICOS'!Área_de_impresión</vt:lpstr>
      <vt:lpstr>'7. APU HIDROSANITARIO'!Área_de_impresión</vt:lpstr>
      <vt:lpstr>'8. APU CUBIERTAS'!Área_de_impresión</vt:lpstr>
      <vt:lpstr>'9. APU PISOS'!Área_de_impresión</vt:lpstr>
      <vt:lpstr>'CALCULO AU'!Área_de_impresión</vt:lpstr>
      <vt:lpstr>INTERVENTORÍA!Área_de_impresión</vt:lpstr>
      <vt:lpstr>'MEMORIAS CANT'!Área_de_impresión</vt:lpstr>
      <vt:lpstr>PRESUPUESTO!Área_de_impresión</vt:lpstr>
      <vt:lpstr>PLAZO</vt:lpstr>
      <vt:lpstr>RUIDO</vt:lpstr>
      <vt:lpstr>T.ALTURAS</vt:lpstr>
      <vt:lpstr>T.TRABAJ.</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DANIELA BETANCUR VILLA</cp:lastModifiedBy>
  <cp:lastPrinted>2025-02-11T00:10:48Z</cp:lastPrinted>
  <dcterms:created xsi:type="dcterms:W3CDTF">2023-03-30T15:58:26Z</dcterms:created>
  <dcterms:modified xsi:type="dcterms:W3CDTF">2025-02-19T22:24:26Z</dcterms:modified>
</cp:coreProperties>
</file>