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eorjuela/Downloads/"/>
    </mc:Choice>
  </mc:AlternateContent>
  <xr:revisionPtr revIDLastSave="0" documentId="13_ncr:1_{EDFA6B10-AC82-FA49-9A3E-8E4E5BD4DCC0}" xr6:coauthVersionLast="47" xr6:coauthVersionMax="47" xr10:uidLastSave="{00000000-0000-0000-0000-000000000000}"/>
  <bookViews>
    <workbookView xWindow="660" yWindow="740" windowWidth="27320" windowHeight="14400" xr2:uid="{AECFE836-CBEF-CD4D-94AF-5CE53EEAAF2B}"/>
  </bookViews>
  <sheets>
    <sheet name="Proceso 1" sheetId="1" r:id="rId1"/>
    <sheet name="Proceso 2" sheetId="2" r:id="rId2"/>
    <sheet name="Proceso 3" sheetId="3" r:id="rId3"/>
    <sheet name="Resume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4" l="1"/>
  <c r="CP45" i="1" l="1"/>
  <c r="CP44" i="1"/>
  <c r="DD45" i="2"/>
  <c r="DD44" i="2"/>
  <c r="DR82" i="3"/>
  <c r="DR81" i="3"/>
  <c r="DR77" i="3"/>
  <c r="DR76" i="3"/>
  <c r="DR75" i="3"/>
  <c r="DR74" i="3"/>
  <c r="DR71" i="3"/>
  <c r="DR70" i="3"/>
  <c r="DR69" i="3"/>
  <c r="DR68" i="3"/>
  <c r="DR65" i="3"/>
  <c r="DR64" i="3"/>
  <c r="DR63" i="3"/>
  <c r="DR62" i="3"/>
  <c r="DR59" i="3"/>
  <c r="DR58" i="3"/>
  <c r="DR57" i="3"/>
  <c r="DR56" i="3"/>
  <c r="DR53" i="3"/>
  <c r="DR52" i="3"/>
  <c r="DR51" i="3"/>
  <c r="DR50" i="3"/>
  <c r="DR47" i="3"/>
  <c r="DR46" i="3"/>
  <c r="DR45" i="3"/>
  <c r="DR44" i="3"/>
  <c r="DR41" i="3"/>
  <c r="DR40" i="3"/>
  <c r="DR39" i="3"/>
  <c r="DR38" i="3"/>
  <c r="DR35" i="3"/>
  <c r="DR34" i="3"/>
  <c r="DR33" i="3"/>
  <c r="DR32" i="3"/>
  <c r="DR29" i="3"/>
  <c r="DR28" i="3"/>
  <c r="DR27" i="3"/>
  <c r="DR26" i="3"/>
  <c r="DR23" i="3"/>
  <c r="DR22" i="3"/>
  <c r="DR21" i="3"/>
  <c r="DR20" i="3"/>
  <c r="DR17" i="3"/>
  <c r="DR16" i="3"/>
  <c r="DR15" i="3"/>
  <c r="DR14" i="3"/>
  <c r="DR11" i="3"/>
  <c r="DR10" i="3"/>
  <c r="DR9" i="3"/>
  <c r="DR8" i="3"/>
  <c r="DD41" i="2"/>
  <c r="DD40" i="2"/>
  <c r="DD39" i="2"/>
  <c r="DD38" i="2"/>
  <c r="DD35" i="2"/>
  <c r="DD34" i="2"/>
  <c r="DD33" i="2"/>
  <c r="DD32" i="2"/>
  <c r="DD29" i="2"/>
  <c r="DD28" i="2"/>
  <c r="DD27" i="2"/>
  <c r="DD26" i="2"/>
  <c r="DD23" i="2"/>
  <c r="DD22" i="2"/>
  <c r="DD21" i="2"/>
  <c r="DD20" i="2"/>
  <c r="DD17" i="2"/>
  <c r="DD16" i="2"/>
  <c r="DD15" i="2"/>
  <c r="DD14" i="2"/>
  <c r="DD11" i="2"/>
  <c r="DD10" i="2"/>
  <c r="DD9" i="2"/>
  <c r="DD8" i="2"/>
  <c r="CP41" i="1"/>
  <c r="CP40" i="1"/>
  <c r="CP39" i="1"/>
  <c r="CP38" i="1"/>
  <c r="CP35" i="1"/>
  <c r="CP34" i="1"/>
  <c r="CP33" i="1"/>
  <c r="CP32" i="1"/>
  <c r="CP29" i="1"/>
  <c r="CP28" i="1"/>
  <c r="CP27" i="1"/>
  <c r="CP26" i="1"/>
  <c r="CP23" i="1"/>
  <c r="CP22" i="1"/>
  <c r="CP21" i="1"/>
  <c r="CP20" i="1"/>
  <c r="CP17" i="1"/>
  <c r="CP16" i="1"/>
  <c r="CP15" i="1"/>
  <c r="CP14" i="1"/>
  <c r="CP11" i="1"/>
  <c r="CP10" i="1"/>
  <c r="CP9" i="1"/>
  <c r="CP8" i="1"/>
  <c r="G24" i="4"/>
  <c r="G23" i="4"/>
  <c r="G22" i="4"/>
  <c r="G21" i="4"/>
  <c r="G16" i="4"/>
  <c r="G15" i="4"/>
  <c r="G14" i="4"/>
  <c r="G13" i="4"/>
  <c r="G8" i="4"/>
  <c r="G7" i="4"/>
  <c r="G6" i="4"/>
  <c r="G5" i="4"/>
  <c r="CJ38" i="1"/>
  <c r="CO41" i="1"/>
  <c r="CN41" i="1"/>
  <c r="CM41" i="1"/>
  <c r="CL41" i="1"/>
  <c r="CK41" i="1"/>
  <c r="CJ41" i="1"/>
  <c r="CO40" i="1"/>
  <c r="CN40" i="1"/>
  <c r="CM40" i="1"/>
  <c r="CL40" i="1"/>
  <c r="CK40" i="1"/>
  <c r="CJ40" i="1"/>
  <c r="CO39" i="1"/>
  <c r="CN39" i="1"/>
  <c r="CM39" i="1"/>
  <c r="CL39" i="1"/>
  <c r="CK39" i="1"/>
  <c r="CJ39" i="1"/>
  <c r="CO38" i="1"/>
  <c r="CN38" i="1"/>
  <c r="CM38" i="1"/>
  <c r="CL38" i="1"/>
  <c r="CK38" i="1"/>
  <c r="CO35" i="1"/>
  <c r="CN35" i="1"/>
  <c r="CM35" i="1"/>
  <c r="CL35" i="1"/>
  <c r="CK35" i="1"/>
  <c r="CJ35" i="1"/>
  <c r="CO34" i="1"/>
  <c r="CN34" i="1"/>
  <c r="CM34" i="1"/>
  <c r="CL34" i="1"/>
  <c r="CK34" i="1"/>
  <c r="CJ34" i="1"/>
  <c r="CO33" i="1"/>
  <c r="CN33" i="1"/>
  <c r="CM33" i="1"/>
  <c r="CL33" i="1"/>
  <c r="CK33" i="1"/>
  <c r="CJ33" i="1"/>
  <c r="CO32" i="1"/>
  <c r="CN32" i="1"/>
  <c r="CM32" i="1"/>
  <c r="CL32" i="1"/>
  <c r="CK32" i="1"/>
  <c r="CJ32" i="1"/>
  <c r="CO29" i="1"/>
  <c r="CN29" i="1"/>
  <c r="CM29" i="1"/>
  <c r="CL29" i="1"/>
  <c r="CK29" i="1"/>
  <c r="CJ29" i="1"/>
  <c r="CO28" i="1"/>
  <c r="CN28" i="1"/>
  <c r="CM28" i="1"/>
  <c r="CL28" i="1"/>
  <c r="CK28" i="1"/>
  <c r="CJ28" i="1"/>
  <c r="CO27" i="1"/>
  <c r="CN27" i="1"/>
  <c r="CM27" i="1"/>
  <c r="CL27" i="1"/>
  <c r="CK27" i="1"/>
  <c r="CJ27" i="1"/>
  <c r="CO26" i="1"/>
  <c r="CN26" i="1"/>
  <c r="CM26" i="1"/>
  <c r="CL26" i="1"/>
  <c r="CK26" i="1"/>
  <c r="CJ26" i="1"/>
  <c r="CO23" i="1"/>
  <c r="CN23" i="1"/>
  <c r="CM23" i="1"/>
  <c r="CL23" i="1"/>
  <c r="CK23" i="1"/>
  <c r="CJ23" i="1"/>
  <c r="CO22" i="1"/>
  <c r="CN22" i="1"/>
  <c r="CM22" i="1"/>
  <c r="CL22" i="1"/>
  <c r="CK22" i="1"/>
  <c r="CJ22" i="1"/>
  <c r="CO21" i="1"/>
  <c r="CN21" i="1"/>
  <c r="CM21" i="1"/>
  <c r="CL21" i="1"/>
  <c r="CK21" i="1"/>
  <c r="CJ21" i="1"/>
  <c r="CO20" i="1"/>
  <c r="CN20" i="1"/>
  <c r="CM20" i="1"/>
  <c r="CL20" i="1"/>
  <c r="CK20" i="1"/>
  <c r="CJ20" i="1"/>
  <c r="CO17" i="1"/>
  <c r="CN17" i="1"/>
  <c r="CM17" i="1"/>
  <c r="CL17" i="1"/>
  <c r="CK17" i="1"/>
  <c r="CJ17" i="1"/>
  <c r="CO16" i="1"/>
  <c r="CN16" i="1"/>
  <c r="CM16" i="1"/>
  <c r="CL16" i="1"/>
  <c r="CK16" i="1"/>
  <c r="CJ16" i="1"/>
  <c r="CO15" i="1"/>
  <c r="CN15" i="1"/>
  <c r="CM15" i="1"/>
  <c r="CL15" i="1"/>
  <c r="CK15" i="1"/>
  <c r="CJ15" i="1"/>
  <c r="CO14" i="1"/>
  <c r="CN14" i="1"/>
  <c r="CM14" i="1"/>
  <c r="CL14" i="1"/>
  <c r="CK14" i="1"/>
  <c r="CJ14" i="1"/>
  <c r="DQ77" i="3"/>
  <c r="DP77" i="3"/>
  <c r="DO77" i="3"/>
  <c r="DN77" i="3"/>
  <c r="DM77" i="3"/>
  <c r="DL77" i="3"/>
  <c r="DQ76" i="3"/>
  <c r="DP76" i="3"/>
  <c r="DO76" i="3"/>
  <c r="DN76" i="3"/>
  <c r="DM76" i="3"/>
  <c r="DL76" i="3"/>
  <c r="DQ75" i="3"/>
  <c r="DP75" i="3"/>
  <c r="DO75" i="3"/>
  <c r="DN75" i="3"/>
  <c r="DM75" i="3"/>
  <c r="DL75" i="3"/>
  <c r="DQ74" i="3"/>
  <c r="DP74" i="3"/>
  <c r="DO74" i="3"/>
  <c r="DN74" i="3"/>
  <c r="DM74" i="3"/>
  <c r="DL74" i="3"/>
  <c r="DQ71" i="3"/>
  <c r="DP71" i="3"/>
  <c r="DO71" i="3"/>
  <c r="DN71" i="3"/>
  <c r="DM71" i="3"/>
  <c r="DL71" i="3"/>
  <c r="DQ70" i="3"/>
  <c r="DP70" i="3"/>
  <c r="DO70" i="3"/>
  <c r="DN70" i="3"/>
  <c r="DM70" i="3"/>
  <c r="DL70" i="3"/>
  <c r="DQ69" i="3"/>
  <c r="DP69" i="3"/>
  <c r="DO69" i="3"/>
  <c r="DN69" i="3"/>
  <c r="DM69" i="3"/>
  <c r="DL69" i="3"/>
  <c r="DQ68" i="3"/>
  <c r="DP68" i="3"/>
  <c r="DO68" i="3"/>
  <c r="DN68" i="3"/>
  <c r="DM68" i="3"/>
  <c r="DL68" i="3"/>
  <c r="DQ65" i="3"/>
  <c r="DP65" i="3"/>
  <c r="DO65" i="3"/>
  <c r="DN65" i="3"/>
  <c r="DM65" i="3"/>
  <c r="DL65" i="3"/>
  <c r="DQ64" i="3"/>
  <c r="DP64" i="3"/>
  <c r="DO64" i="3"/>
  <c r="DN64" i="3"/>
  <c r="DM64" i="3"/>
  <c r="DL64" i="3"/>
  <c r="DQ63" i="3"/>
  <c r="DP63" i="3"/>
  <c r="DO63" i="3"/>
  <c r="DN63" i="3"/>
  <c r="DM63" i="3"/>
  <c r="DL63" i="3"/>
  <c r="DQ62" i="3"/>
  <c r="DP62" i="3"/>
  <c r="DO62" i="3"/>
  <c r="DN62" i="3"/>
  <c r="DM62" i="3"/>
  <c r="DL62" i="3"/>
  <c r="DQ59" i="3"/>
  <c r="DP59" i="3"/>
  <c r="DO59" i="3"/>
  <c r="DN59" i="3"/>
  <c r="DM59" i="3"/>
  <c r="DL59" i="3"/>
  <c r="DQ58" i="3"/>
  <c r="DP58" i="3"/>
  <c r="DO58" i="3"/>
  <c r="DN58" i="3"/>
  <c r="DM58" i="3"/>
  <c r="DL58" i="3"/>
  <c r="DQ57" i="3"/>
  <c r="DP57" i="3"/>
  <c r="DO57" i="3"/>
  <c r="DN57" i="3"/>
  <c r="DM57" i="3"/>
  <c r="DL57" i="3"/>
  <c r="DQ56" i="3"/>
  <c r="DP56" i="3"/>
  <c r="DO56" i="3"/>
  <c r="DN56" i="3"/>
  <c r="DM56" i="3"/>
  <c r="DL56" i="3"/>
  <c r="DQ53" i="3"/>
  <c r="DP53" i="3"/>
  <c r="DO53" i="3"/>
  <c r="DN53" i="3"/>
  <c r="DM53" i="3"/>
  <c r="DL53" i="3"/>
  <c r="DQ52" i="3"/>
  <c r="DP52" i="3"/>
  <c r="DO52" i="3"/>
  <c r="DN52" i="3"/>
  <c r="DM52" i="3"/>
  <c r="DL52" i="3"/>
  <c r="DQ51" i="3"/>
  <c r="DP51" i="3"/>
  <c r="DO51" i="3"/>
  <c r="DN51" i="3"/>
  <c r="DM51" i="3"/>
  <c r="DL51" i="3"/>
  <c r="DQ50" i="3"/>
  <c r="DP50" i="3"/>
  <c r="DO50" i="3"/>
  <c r="DN50" i="3"/>
  <c r="DM50" i="3"/>
  <c r="DL50" i="3"/>
  <c r="DQ47" i="3"/>
  <c r="DP47" i="3"/>
  <c r="DO47" i="3"/>
  <c r="DN47" i="3"/>
  <c r="DM47" i="3"/>
  <c r="DL47" i="3"/>
  <c r="DQ46" i="3"/>
  <c r="DP46" i="3"/>
  <c r="DO46" i="3"/>
  <c r="DN46" i="3"/>
  <c r="DM46" i="3"/>
  <c r="DL46" i="3"/>
  <c r="DQ45" i="3"/>
  <c r="DP45" i="3"/>
  <c r="DO45" i="3"/>
  <c r="DN45" i="3"/>
  <c r="DM45" i="3"/>
  <c r="DL45" i="3"/>
  <c r="DQ44" i="3"/>
  <c r="DP44" i="3"/>
  <c r="DO44" i="3"/>
  <c r="DN44" i="3"/>
  <c r="DM44" i="3"/>
  <c r="DL44" i="3"/>
  <c r="DQ41" i="3"/>
  <c r="DP41" i="3"/>
  <c r="DO41" i="3"/>
  <c r="DN41" i="3"/>
  <c r="DM41" i="3"/>
  <c r="DL41" i="3"/>
  <c r="DQ40" i="3"/>
  <c r="DP40" i="3"/>
  <c r="DO40" i="3"/>
  <c r="DN40" i="3"/>
  <c r="DM40" i="3"/>
  <c r="DL40" i="3"/>
  <c r="DQ39" i="3"/>
  <c r="DP39" i="3"/>
  <c r="DO39" i="3"/>
  <c r="DN39" i="3"/>
  <c r="DM39" i="3"/>
  <c r="DL39" i="3"/>
  <c r="DQ38" i="3"/>
  <c r="DP38" i="3"/>
  <c r="DO38" i="3"/>
  <c r="DN38" i="3"/>
  <c r="DM38" i="3"/>
  <c r="DL38" i="3"/>
  <c r="DQ35" i="3"/>
  <c r="DP35" i="3"/>
  <c r="DO35" i="3"/>
  <c r="DN35" i="3"/>
  <c r="DM35" i="3"/>
  <c r="DL35" i="3"/>
  <c r="DQ34" i="3"/>
  <c r="DP34" i="3"/>
  <c r="DO34" i="3"/>
  <c r="DN34" i="3"/>
  <c r="DM34" i="3"/>
  <c r="DL34" i="3"/>
  <c r="DQ33" i="3"/>
  <c r="DP33" i="3"/>
  <c r="DO33" i="3"/>
  <c r="DN33" i="3"/>
  <c r="DM33" i="3"/>
  <c r="DL33" i="3"/>
  <c r="DQ32" i="3"/>
  <c r="DP32" i="3"/>
  <c r="DO32" i="3"/>
  <c r="DN32" i="3"/>
  <c r="DM32" i="3"/>
  <c r="DL32" i="3"/>
  <c r="DQ29" i="3"/>
  <c r="DP29" i="3"/>
  <c r="DO29" i="3"/>
  <c r="DN29" i="3"/>
  <c r="DM29" i="3"/>
  <c r="DL29" i="3"/>
  <c r="DQ28" i="3"/>
  <c r="DP28" i="3"/>
  <c r="DO28" i="3"/>
  <c r="DN28" i="3"/>
  <c r="DM28" i="3"/>
  <c r="DL28" i="3"/>
  <c r="DQ27" i="3"/>
  <c r="DP27" i="3"/>
  <c r="DO27" i="3"/>
  <c r="DN27" i="3"/>
  <c r="DM27" i="3"/>
  <c r="DL27" i="3"/>
  <c r="DQ26" i="3"/>
  <c r="DP26" i="3"/>
  <c r="DO26" i="3"/>
  <c r="DN26" i="3"/>
  <c r="DM26" i="3"/>
  <c r="DL26" i="3"/>
  <c r="DQ23" i="3"/>
  <c r="DP23" i="3"/>
  <c r="DO23" i="3"/>
  <c r="DN23" i="3"/>
  <c r="DM23" i="3"/>
  <c r="DL23" i="3"/>
  <c r="DQ22" i="3"/>
  <c r="DP22" i="3"/>
  <c r="DO22" i="3"/>
  <c r="DN22" i="3"/>
  <c r="DM22" i="3"/>
  <c r="DL22" i="3"/>
  <c r="DQ21" i="3"/>
  <c r="DP21" i="3"/>
  <c r="DO21" i="3"/>
  <c r="DN21" i="3"/>
  <c r="DM21" i="3"/>
  <c r="DL21" i="3"/>
  <c r="DQ20" i="3"/>
  <c r="DP20" i="3"/>
  <c r="DO20" i="3"/>
  <c r="DN20" i="3"/>
  <c r="DM20" i="3"/>
  <c r="DL20" i="3"/>
  <c r="DQ17" i="3"/>
  <c r="DP17" i="3"/>
  <c r="DO17" i="3"/>
  <c r="DN17" i="3"/>
  <c r="DM17" i="3"/>
  <c r="DL17" i="3"/>
  <c r="DQ16" i="3"/>
  <c r="DP16" i="3"/>
  <c r="DO16" i="3"/>
  <c r="DN16" i="3"/>
  <c r="DM16" i="3"/>
  <c r="DL16" i="3"/>
  <c r="DQ15" i="3"/>
  <c r="DP15" i="3"/>
  <c r="DO15" i="3"/>
  <c r="DN15" i="3"/>
  <c r="DM15" i="3"/>
  <c r="DL15" i="3"/>
  <c r="DQ14" i="3"/>
  <c r="DP14" i="3"/>
  <c r="DO14" i="3"/>
  <c r="DN14" i="3"/>
  <c r="DM14" i="3"/>
  <c r="DL14" i="3"/>
  <c r="DQ11" i="3"/>
  <c r="DP11" i="3"/>
  <c r="DO11" i="3"/>
  <c r="DN11" i="3"/>
  <c r="DM11" i="3"/>
  <c r="DL11" i="3"/>
  <c r="DQ10" i="3"/>
  <c r="DP10" i="3"/>
  <c r="DO10" i="3"/>
  <c r="DN10" i="3"/>
  <c r="DM10" i="3"/>
  <c r="DL10" i="3"/>
  <c r="DQ9" i="3"/>
  <c r="DP9" i="3"/>
  <c r="DO9" i="3"/>
  <c r="DN9" i="3"/>
  <c r="DM9" i="3"/>
  <c r="DL9" i="3"/>
  <c r="DQ8" i="3"/>
  <c r="DP8" i="3"/>
  <c r="DO8" i="3"/>
  <c r="DN8" i="3"/>
  <c r="DM8" i="3"/>
  <c r="DL8" i="3"/>
  <c r="DC41" i="2"/>
  <c r="DB41" i="2"/>
  <c r="DA41" i="2"/>
  <c r="CZ41" i="2"/>
  <c r="CY41" i="2"/>
  <c r="CX41" i="2"/>
  <c r="DC40" i="2"/>
  <c r="DB40" i="2"/>
  <c r="DA40" i="2"/>
  <c r="CZ40" i="2"/>
  <c r="CY40" i="2"/>
  <c r="CX40" i="2"/>
  <c r="DC39" i="2"/>
  <c r="DB39" i="2"/>
  <c r="DA39" i="2"/>
  <c r="CZ39" i="2"/>
  <c r="CY39" i="2"/>
  <c r="CX39" i="2"/>
  <c r="DC38" i="2"/>
  <c r="DB38" i="2"/>
  <c r="DA38" i="2"/>
  <c r="CZ38" i="2"/>
  <c r="CY38" i="2"/>
  <c r="CX38" i="2"/>
  <c r="DC35" i="2"/>
  <c r="DB35" i="2"/>
  <c r="DA35" i="2"/>
  <c r="CZ35" i="2"/>
  <c r="CY35" i="2"/>
  <c r="CX35" i="2"/>
  <c r="DC34" i="2"/>
  <c r="DB34" i="2"/>
  <c r="DA34" i="2"/>
  <c r="CZ34" i="2"/>
  <c r="CY34" i="2"/>
  <c r="CX34" i="2"/>
  <c r="DC33" i="2"/>
  <c r="DB33" i="2"/>
  <c r="DA33" i="2"/>
  <c r="CZ33" i="2"/>
  <c r="CY33" i="2"/>
  <c r="CX33" i="2"/>
  <c r="DC32" i="2"/>
  <c r="DB32" i="2"/>
  <c r="DA32" i="2"/>
  <c r="CZ32" i="2"/>
  <c r="CY32" i="2"/>
  <c r="CX32" i="2"/>
  <c r="DC29" i="2"/>
  <c r="DB29" i="2"/>
  <c r="DA29" i="2"/>
  <c r="CZ29" i="2"/>
  <c r="CY29" i="2"/>
  <c r="CX29" i="2"/>
  <c r="DC28" i="2"/>
  <c r="DB28" i="2"/>
  <c r="DA28" i="2"/>
  <c r="CZ28" i="2"/>
  <c r="CY28" i="2"/>
  <c r="CX28" i="2"/>
  <c r="DC27" i="2"/>
  <c r="DB27" i="2"/>
  <c r="DA27" i="2"/>
  <c r="CZ27" i="2"/>
  <c r="CY27" i="2"/>
  <c r="CX27" i="2"/>
  <c r="DC26" i="2"/>
  <c r="DB26" i="2"/>
  <c r="DA26" i="2"/>
  <c r="CZ26" i="2"/>
  <c r="CY26" i="2"/>
  <c r="CX26" i="2"/>
  <c r="DC23" i="2"/>
  <c r="DB23" i="2"/>
  <c r="DA23" i="2"/>
  <c r="CZ23" i="2"/>
  <c r="CY23" i="2"/>
  <c r="CX23" i="2"/>
  <c r="DC22" i="2"/>
  <c r="DB22" i="2"/>
  <c r="DA22" i="2"/>
  <c r="CZ22" i="2"/>
  <c r="CY22" i="2"/>
  <c r="CX22" i="2"/>
  <c r="DC21" i="2"/>
  <c r="DB21" i="2"/>
  <c r="DA21" i="2"/>
  <c r="CZ21" i="2"/>
  <c r="CY21" i="2"/>
  <c r="CX21" i="2"/>
  <c r="DC20" i="2"/>
  <c r="DB20" i="2"/>
  <c r="DA20" i="2"/>
  <c r="CZ20" i="2"/>
  <c r="CY20" i="2"/>
  <c r="CX20" i="2"/>
  <c r="DC17" i="2"/>
  <c r="DB17" i="2"/>
  <c r="DA17" i="2"/>
  <c r="CZ17" i="2"/>
  <c r="CY17" i="2"/>
  <c r="CX17" i="2"/>
  <c r="DC16" i="2"/>
  <c r="DB16" i="2"/>
  <c r="DA16" i="2"/>
  <c r="CZ16" i="2"/>
  <c r="CY16" i="2"/>
  <c r="CX16" i="2"/>
  <c r="DC15" i="2"/>
  <c r="DB15" i="2"/>
  <c r="DA15" i="2"/>
  <c r="CZ15" i="2"/>
  <c r="CY15" i="2"/>
  <c r="CX15" i="2"/>
  <c r="DC14" i="2"/>
  <c r="DB14" i="2"/>
  <c r="DA14" i="2"/>
  <c r="CZ14" i="2"/>
  <c r="CY14" i="2"/>
  <c r="CX14" i="2"/>
  <c r="DC11" i="2"/>
  <c r="DB11" i="2"/>
  <c r="DA11" i="2"/>
  <c r="CZ11" i="2"/>
  <c r="CY11" i="2"/>
  <c r="CX11" i="2"/>
  <c r="DC10" i="2"/>
  <c r="DB10" i="2"/>
  <c r="DA10" i="2"/>
  <c r="CZ10" i="2"/>
  <c r="CY10" i="2"/>
  <c r="CX10" i="2"/>
  <c r="DC9" i="2"/>
  <c r="DB9" i="2"/>
  <c r="DA9" i="2"/>
  <c r="CZ9" i="2"/>
  <c r="CY9" i="2"/>
  <c r="CX9" i="2"/>
  <c r="DC8" i="2"/>
  <c r="DB8" i="2"/>
  <c r="DA8" i="2"/>
  <c r="CZ8" i="2"/>
  <c r="CY8" i="2"/>
  <c r="CX8" i="2"/>
  <c r="CO11" i="1"/>
  <c r="CN11" i="1"/>
  <c r="CM11" i="1"/>
  <c r="CL11" i="1"/>
  <c r="CK11" i="1"/>
  <c r="CJ11" i="1"/>
  <c r="CO10" i="1"/>
  <c r="CN10" i="1"/>
  <c r="CM10" i="1"/>
  <c r="CL10" i="1"/>
  <c r="CK10" i="1"/>
  <c r="CJ10" i="1"/>
  <c r="CO9" i="1"/>
  <c r="CN9" i="1"/>
  <c r="CM9" i="1"/>
  <c r="CL9" i="1"/>
  <c r="CK9" i="1"/>
  <c r="CJ9" i="1"/>
  <c r="CO8" i="1"/>
  <c r="CJ8" i="1"/>
  <c r="CN8" i="1"/>
  <c r="CM8" i="1"/>
  <c r="CL8" i="1"/>
  <c r="CK8" i="1"/>
  <c r="DF77" i="3"/>
  <c r="DG77" i="3" s="1"/>
  <c r="DF76" i="3"/>
  <c r="DG76" i="3" s="1"/>
  <c r="DF75" i="3"/>
  <c r="DG75" i="3" s="1"/>
  <c r="DG74" i="3"/>
  <c r="DF74" i="3"/>
  <c r="DG71" i="3"/>
  <c r="DF71" i="3"/>
  <c r="DF70" i="3"/>
  <c r="DG70" i="3" s="1"/>
  <c r="DF69" i="3"/>
  <c r="DG69" i="3" s="1"/>
  <c r="DG68" i="3"/>
  <c r="DF68" i="3"/>
  <c r="DG65" i="3"/>
  <c r="DF65" i="3"/>
  <c r="DF64" i="3"/>
  <c r="DG64" i="3" s="1"/>
  <c r="DF63" i="3"/>
  <c r="DG63" i="3" s="1"/>
  <c r="DG62" i="3"/>
  <c r="DF62" i="3"/>
  <c r="DG59" i="3"/>
  <c r="DF59" i="3"/>
  <c r="DF58" i="3"/>
  <c r="DG58" i="3" s="1"/>
  <c r="DF57" i="3"/>
  <c r="DG57" i="3" s="1"/>
  <c r="DG56" i="3"/>
  <c r="DF56" i="3"/>
  <c r="DG53" i="3"/>
  <c r="DF53" i="3"/>
  <c r="DF52" i="3"/>
  <c r="DG52" i="3" s="1"/>
  <c r="DF51" i="3"/>
  <c r="DG51" i="3" s="1"/>
  <c r="DG50" i="3"/>
  <c r="DF50" i="3"/>
  <c r="DG47" i="3"/>
  <c r="DF47" i="3"/>
  <c r="DF46" i="3"/>
  <c r="DG46" i="3" s="1"/>
  <c r="DF45" i="3"/>
  <c r="DG45" i="3" s="1"/>
  <c r="DG44" i="3"/>
  <c r="DF44" i="3"/>
  <c r="DE40" i="3"/>
  <c r="DE39" i="3"/>
  <c r="DF39" i="3" s="1"/>
  <c r="DG39" i="3" s="1"/>
  <c r="DE38" i="3"/>
  <c r="DE33" i="3"/>
  <c r="DF33" i="3" s="1"/>
  <c r="DE32" i="3"/>
  <c r="DF32" i="3" s="1"/>
  <c r="DE28" i="3"/>
  <c r="DF27" i="3"/>
  <c r="DG27" i="3" s="1"/>
  <c r="DE27" i="3"/>
  <c r="DE26" i="3"/>
  <c r="DE21" i="3"/>
  <c r="DF21" i="3" s="1"/>
  <c r="DE20" i="3"/>
  <c r="DE16" i="3"/>
  <c r="DF16" i="3" s="1"/>
  <c r="DF15" i="3"/>
  <c r="DG15" i="3" s="1"/>
  <c r="DE15" i="3"/>
  <c r="DE14" i="3"/>
  <c r="DE9" i="3"/>
  <c r="DF9" i="3" s="1"/>
  <c r="DE8" i="3"/>
  <c r="CR41" i="2"/>
  <c r="CS41" i="2" s="1"/>
  <c r="CR40" i="2"/>
  <c r="CS40" i="2" s="1"/>
  <c r="CR39" i="2"/>
  <c r="CS39" i="2" s="1"/>
  <c r="CR38" i="2"/>
  <c r="CS38" i="2" s="1"/>
  <c r="CS35" i="2"/>
  <c r="CR35" i="2"/>
  <c r="CR34" i="2"/>
  <c r="CS34" i="2" s="1"/>
  <c r="CR33" i="2"/>
  <c r="CS33" i="2" s="1"/>
  <c r="CS32" i="2"/>
  <c r="CR32" i="2"/>
  <c r="CS29" i="2"/>
  <c r="CR29" i="2"/>
  <c r="CR28" i="2"/>
  <c r="CS28" i="2" s="1"/>
  <c r="CR27" i="2"/>
  <c r="CS27" i="2" s="1"/>
  <c r="CS26" i="2"/>
  <c r="CR26" i="2"/>
  <c r="CS23" i="2"/>
  <c r="CR23" i="2"/>
  <c r="CR22" i="2"/>
  <c r="CS22" i="2" s="1"/>
  <c r="CR21" i="2"/>
  <c r="CS21" i="2" s="1"/>
  <c r="CS20" i="2"/>
  <c r="CR20" i="2"/>
  <c r="CS17" i="2"/>
  <c r="CR17" i="2"/>
  <c r="CR16" i="2"/>
  <c r="CS16" i="2" s="1"/>
  <c r="CR15" i="2"/>
  <c r="CS15" i="2" s="1"/>
  <c r="CS14" i="2"/>
  <c r="CR14" i="2"/>
  <c r="CS11" i="2"/>
  <c r="CR11" i="2"/>
  <c r="CR10" i="2"/>
  <c r="CS10" i="2" s="1"/>
  <c r="CR9" i="2"/>
  <c r="CS9" i="2" s="1"/>
  <c r="CS8" i="2"/>
  <c r="CR8" i="2"/>
  <c r="CE41" i="1"/>
  <c r="CD41" i="1"/>
  <c r="CE40" i="1"/>
  <c r="CD40" i="1"/>
  <c r="CD39" i="1"/>
  <c r="CE39" i="1" s="1"/>
  <c r="CE38" i="1"/>
  <c r="CD38" i="1"/>
  <c r="CE35" i="1"/>
  <c r="CD35" i="1"/>
  <c r="CE34" i="1"/>
  <c r="CD34" i="1"/>
  <c r="CD33" i="1"/>
  <c r="CE33" i="1" s="1"/>
  <c r="CE32" i="1"/>
  <c r="CD32" i="1"/>
  <c r="CE29" i="1"/>
  <c r="CD29" i="1"/>
  <c r="CE28" i="1"/>
  <c r="CD28" i="1"/>
  <c r="CD27" i="1"/>
  <c r="CE27" i="1" s="1"/>
  <c r="CE26" i="1"/>
  <c r="CD26" i="1"/>
  <c r="CE23" i="1"/>
  <c r="CD23" i="1"/>
  <c r="CE22" i="1"/>
  <c r="CD22" i="1"/>
  <c r="CD21" i="1"/>
  <c r="CE21" i="1" s="1"/>
  <c r="CE20" i="1"/>
  <c r="CD20" i="1"/>
  <c r="CE17" i="1"/>
  <c r="CD17" i="1"/>
  <c r="CE16" i="1"/>
  <c r="CD16" i="1"/>
  <c r="CD15" i="1"/>
  <c r="CE15" i="1" s="1"/>
  <c r="CE14" i="1"/>
  <c r="CD14" i="1"/>
  <c r="CC11" i="1"/>
  <c r="CC8" i="1"/>
  <c r="CC9" i="1" s="1"/>
  <c r="DG8" i="3" l="1"/>
  <c r="DG40" i="3"/>
  <c r="DG14" i="3"/>
  <c r="DG9" i="3"/>
  <c r="DF14" i="3"/>
  <c r="DE17" i="3"/>
  <c r="DG21" i="3"/>
  <c r="DF26" i="3"/>
  <c r="DG26" i="3" s="1"/>
  <c r="DE29" i="3"/>
  <c r="DG33" i="3"/>
  <c r="DF38" i="3"/>
  <c r="DG38" i="3" s="1"/>
  <c r="DE41" i="3"/>
  <c r="DF8" i="3"/>
  <c r="DF20" i="3"/>
  <c r="DG20" i="3" s="1"/>
  <c r="DG32" i="3"/>
  <c r="DG16" i="3"/>
  <c r="DE10" i="3"/>
  <c r="DE22" i="3"/>
  <c r="DE34" i="3"/>
  <c r="DF28" i="3"/>
  <c r="DG28" i="3" s="1"/>
  <c r="DF40" i="3"/>
  <c r="CC10" i="1"/>
  <c r="CD9" i="1"/>
  <c r="CE9" i="1" s="1"/>
  <c r="CD8" i="1"/>
  <c r="CE8" i="1"/>
  <c r="CD11" i="1"/>
  <c r="CE11" i="1" s="1"/>
  <c r="DF41" i="3" l="1"/>
  <c r="DG41" i="3" s="1"/>
  <c r="DF34" i="3"/>
  <c r="DE35" i="3"/>
  <c r="DG34" i="3"/>
  <c r="DF22" i="3"/>
  <c r="DE23" i="3"/>
  <c r="DG22" i="3"/>
  <c r="DF10" i="3"/>
  <c r="DE11" i="3"/>
  <c r="DG10" i="3"/>
  <c r="DF29" i="3"/>
  <c r="DG29" i="3" s="1"/>
  <c r="DF17" i="3"/>
  <c r="DG17" i="3" s="1"/>
  <c r="CD10" i="1"/>
  <c r="CE10" i="1"/>
  <c r="DF23" i="3" l="1"/>
  <c r="DG23" i="3" s="1"/>
  <c r="DF35" i="3"/>
  <c r="DG35" i="3" s="1"/>
  <c r="DF11" i="3"/>
  <c r="DG11" i="3"/>
  <c r="CL41" i="2"/>
  <c r="CL40" i="2"/>
  <c r="CL39" i="2"/>
  <c r="CL38" i="2"/>
  <c r="CL35" i="2"/>
  <c r="CL34" i="2"/>
  <c r="CL33" i="2"/>
  <c r="CL32" i="2"/>
  <c r="CL29" i="2"/>
  <c r="CL28" i="2"/>
  <c r="CL27" i="2"/>
  <c r="CL26" i="2"/>
  <c r="CL23" i="2"/>
  <c r="CL22" i="2"/>
  <c r="CL21" i="2"/>
  <c r="CL20" i="2"/>
  <c r="CL17" i="2"/>
  <c r="CL16" i="2"/>
  <c r="CL15" i="2"/>
  <c r="CL14" i="2"/>
  <c r="CL11" i="2"/>
  <c r="CL10" i="2"/>
  <c r="CL9" i="2"/>
  <c r="CL8" i="2"/>
  <c r="BX41" i="1"/>
  <c r="BX40" i="1"/>
  <c r="BX39" i="1"/>
  <c r="BX38" i="1"/>
  <c r="BX35" i="1"/>
  <c r="BX34" i="1"/>
  <c r="BX33" i="1"/>
  <c r="BX32" i="1"/>
  <c r="BX29" i="1"/>
  <c r="BX28" i="1"/>
  <c r="BX27" i="1"/>
  <c r="BX26" i="1"/>
  <c r="BX23" i="1"/>
  <c r="BX22" i="1"/>
  <c r="BX21" i="1"/>
  <c r="BX20" i="1"/>
  <c r="BX17" i="1"/>
  <c r="BX16" i="1"/>
  <c r="BX15" i="1"/>
  <c r="BX14" i="1"/>
  <c r="BX11" i="1"/>
  <c r="BX10" i="1"/>
  <c r="BX9" i="1"/>
  <c r="BX8" i="1"/>
  <c r="CZ77" i="3"/>
  <c r="CZ76" i="3"/>
  <c r="CZ75" i="3"/>
  <c r="CZ74" i="3"/>
  <c r="CZ71" i="3"/>
  <c r="CZ70" i="3"/>
  <c r="CZ69" i="3"/>
  <c r="CZ68" i="3"/>
  <c r="CZ65" i="3"/>
  <c r="CZ64" i="3"/>
  <c r="CZ63" i="3"/>
  <c r="CZ62" i="3"/>
  <c r="CZ59" i="3"/>
  <c r="CZ58" i="3"/>
  <c r="CZ57" i="3"/>
  <c r="CZ56" i="3"/>
  <c r="CZ53" i="3"/>
  <c r="CZ52" i="3"/>
  <c r="CZ51" i="3"/>
  <c r="CZ50" i="3"/>
  <c r="CZ47" i="3"/>
  <c r="CZ46" i="3"/>
  <c r="CZ45" i="3"/>
  <c r="CZ44" i="3"/>
  <c r="CZ41" i="3"/>
  <c r="CZ40" i="3"/>
  <c r="CZ39" i="3"/>
  <c r="CZ38" i="3"/>
  <c r="CZ35" i="3"/>
  <c r="CZ34" i="3"/>
  <c r="CZ33" i="3"/>
  <c r="CZ32" i="3"/>
  <c r="CZ29" i="3"/>
  <c r="CZ28" i="3"/>
  <c r="CZ27" i="3"/>
  <c r="CZ26" i="3"/>
  <c r="CZ23" i="3"/>
  <c r="CZ22" i="3"/>
  <c r="CZ21" i="3"/>
  <c r="CZ20" i="3"/>
  <c r="CZ17" i="3"/>
  <c r="CZ16" i="3"/>
  <c r="CZ15" i="3"/>
  <c r="CZ14" i="3"/>
  <c r="CZ11" i="3"/>
  <c r="CZ10" i="3"/>
  <c r="CZ9" i="3"/>
  <c r="CZ8" i="3"/>
  <c r="CE41" i="2"/>
  <c r="CE40" i="2"/>
  <c r="CE39" i="2"/>
  <c r="CE38" i="2"/>
  <c r="CE35" i="2"/>
  <c r="CE34" i="2"/>
  <c r="CE33" i="2"/>
  <c r="CE32" i="2"/>
  <c r="CE29" i="2"/>
  <c r="CE28" i="2"/>
  <c r="CE27" i="2"/>
  <c r="CE26" i="2"/>
  <c r="CE23" i="2"/>
  <c r="CE22" i="2"/>
  <c r="CE21" i="2"/>
  <c r="CE20" i="2"/>
  <c r="CE17" i="2"/>
  <c r="CE16" i="2"/>
  <c r="CE15" i="2"/>
  <c r="CE14" i="2"/>
  <c r="CE11" i="2"/>
  <c r="CE10" i="2"/>
  <c r="CE9" i="2"/>
  <c r="CE8" i="2"/>
  <c r="BQ41" i="1"/>
  <c r="BQ40" i="1"/>
  <c r="BQ39" i="1"/>
  <c r="BQ38" i="1"/>
  <c r="BQ35" i="1"/>
  <c r="BQ34" i="1"/>
  <c r="BQ33" i="1"/>
  <c r="BQ32" i="1"/>
  <c r="BQ29" i="1"/>
  <c r="BQ28" i="1"/>
  <c r="BQ27" i="1"/>
  <c r="BQ26" i="1"/>
  <c r="BQ23" i="1"/>
  <c r="BQ22" i="1"/>
  <c r="BQ21" i="1"/>
  <c r="BQ20" i="1"/>
  <c r="BQ17" i="1"/>
  <c r="BQ16" i="1"/>
  <c r="BQ15" i="1"/>
  <c r="BQ14" i="1"/>
  <c r="BQ11" i="1"/>
  <c r="BQ10" i="1"/>
  <c r="BQ9" i="1"/>
  <c r="BQ8" i="1"/>
  <c r="CS74" i="3" l="1"/>
  <c r="CS68" i="3"/>
  <c r="CS62" i="3"/>
  <c r="CS56" i="3"/>
  <c r="CS50" i="3"/>
  <c r="CS44" i="3"/>
  <c r="CS38" i="3"/>
  <c r="CS32" i="3"/>
  <c r="CS26" i="3"/>
  <c r="CS20" i="3"/>
  <c r="CS14" i="3"/>
  <c r="CS8" i="3"/>
  <c r="CL77" i="3"/>
  <c r="CL76" i="3"/>
  <c r="CL75" i="3"/>
  <c r="CL74" i="3"/>
  <c r="CL71" i="3"/>
  <c r="CL70" i="3"/>
  <c r="CL69" i="3"/>
  <c r="CL68" i="3"/>
  <c r="CL65" i="3"/>
  <c r="CL64" i="3"/>
  <c r="CL63" i="3"/>
  <c r="CL62" i="3"/>
  <c r="CL59" i="3"/>
  <c r="CL58" i="3"/>
  <c r="CL57" i="3"/>
  <c r="CL56" i="3"/>
  <c r="CL53" i="3"/>
  <c r="CL52" i="3"/>
  <c r="CL51" i="3"/>
  <c r="CL50" i="3"/>
  <c r="CL47" i="3"/>
  <c r="CL46" i="3"/>
  <c r="CL45" i="3"/>
  <c r="CL44" i="3"/>
  <c r="CL41" i="3"/>
  <c r="CL40" i="3"/>
  <c r="CL39" i="3"/>
  <c r="CL38" i="3"/>
  <c r="CL35" i="3"/>
  <c r="CL34" i="3"/>
  <c r="CL33" i="3"/>
  <c r="CL32" i="3"/>
  <c r="CL29" i="3"/>
  <c r="CL28" i="3"/>
  <c r="CL27" i="3"/>
  <c r="CL26" i="3"/>
  <c r="CL23" i="3"/>
  <c r="CL22" i="3"/>
  <c r="CL21" i="3"/>
  <c r="CL20" i="3"/>
  <c r="CL17" i="3"/>
  <c r="CL16" i="3"/>
  <c r="CL15" i="3"/>
  <c r="CL14" i="3"/>
  <c r="CL11" i="3"/>
  <c r="CL10" i="3"/>
  <c r="CL9" i="3"/>
  <c r="CL8" i="3"/>
  <c r="BX41" i="2"/>
  <c r="BX40" i="2"/>
  <c r="BX39" i="2"/>
  <c r="BX38" i="2"/>
  <c r="BX35" i="2"/>
  <c r="BX34" i="2"/>
  <c r="BX33" i="2"/>
  <c r="BX32" i="2"/>
  <c r="BX29" i="2"/>
  <c r="BX28" i="2"/>
  <c r="BX27" i="2"/>
  <c r="BX26" i="2"/>
  <c r="BX23" i="2"/>
  <c r="BX22" i="2"/>
  <c r="BX21" i="2"/>
  <c r="BX20" i="2"/>
  <c r="BX17" i="2"/>
  <c r="BX16" i="2"/>
  <c r="BX15" i="2"/>
  <c r="BX14" i="2"/>
  <c r="BX11" i="2"/>
  <c r="BX10" i="2"/>
  <c r="BX9" i="2"/>
  <c r="BX8" i="2"/>
  <c r="BJ41" i="1"/>
  <c r="BJ40" i="1"/>
  <c r="BJ39" i="1"/>
  <c r="BJ38" i="1"/>
  <c r="BJ35" i="1"/>
  <c r="BJ34" i="1"/>
  <c r="BJ33" i="1"/>
  <c r="BJ32" i="1"/>
  <c r="BJ29" i="1"/>
  <c r="BJ28" i="1"/>
  <c r="BJ27" i="1"/>
  <c r="BJ26" i="1"/>
  <c r="BJ23" i="1"/>
  <c r="BJ22" i="1"/>
  <c r="BJ21" i="1"/>
  <c r="BJ20" i="1"/>
  <c r="BJ17" i="1"/>
  <c r="BJ16" i="1"/>
  <c r="BJ15" i="1"/>
  <c r="BJ14" i="1"/>
  <c r="BJ11" i="1"/>
  <c r="BJ10" i="1"/>
  <c r="BJ9" i="1"/>
  <c r="BJ8" i="1"/>
  <c r="CD77" i="3"/>
  <c r="CE77" i="3" s="1"/>
  <c r="CD76" i="3"/>
  <c r="CE76" i="3" s="1"/>
  <c r="CD75" i="3"/>
  <c r="CE75" i="3" s="1"/>
  <c r="CD74" i="3"/>
  <c r="CE74" i="3" s="1"/>
  <c r="CD71" i="3"/>
  <c r="CE71" i="3" s="1"/>
  <c r="CD70" i="3"/>
  <c r="CE70" i="3" s="1"/>
  <c r="CD69" i="3"/>
  <c r="CE69" i="3" s="1"/>
  <c r="CD68" i="3"/>
  <c r="CE68" i="3" s="1"/>
  <c r="CD65" i="3"/>
  <c r="CE65" i="3" s="1"/>
  <c r="CD64" i="3"/>
  <c r="CE64" i="3" s="1"/>
  <c r="CD63" i="3"/>
  <c r="CE63" i="3" s="1"/>
  <c r="CD62" i="3"/>
  <c r="CE62" i="3" s="1"/>
  <c r="CD59" i="3"/>
  <c r="CE59" i="3" s="1"/>
  <c r="CD58" i="3"/>
  <c r="CE58" i="3" s="1"/>
  <c r="CD57" i="3"/>
  <c r="CE57" i="3" s="1"/>
  <c r="CD56" i="3"/>
  <c r="CE56" i="3" s="1"/>
  <c r="CD53" i="3"/>
  <c r="CE53" i="3" s="1"/>
  <c r="CD52" i="3"/>
  <c r="CE52" i="3" s="1"/>
  <c r="CD51" i="3"/>
  <c r="CE51" i="3" s="1"/>
  <c r="CD50" i="3"/>
  <c r="CE50" i="3" s="1"/>
  <c r="CD47" i="3"/>
  <c r="CE47" i="3" s="1"/>
  <c r="CD46" i="3"/>
  <c r="CE46" i="3" s="1"/>
  <c r="CD45" i="3"/>
  <c r="CE45" i="3" s="1"/>
  <c r="CD44" i="3"/>
  <c r="CE44" i="3" s="1"/>
  <c r="CD41" i="3"/>
  <c r="CE41" i="3" s="1"/>
  <c r="CD40" i="3"/>
  <c r="CE40" i="3" s="1"/>
  <c r="CD39" i="3"/>
  <c r="CE39" i="3" s="1"/>
  <c r="CD38" i="3"/>
  <c r="CE38" i="3" s="1"/>
  <c r="CD35" i="3"/>
  <c r="CE35" i="3" s="1"/>
  <c r="CD34" i="3"/>
  <c r="CE34" i="3" s="1"/>
  <c r="CD33" i="3"/>
  <c r="CE33" i="3" s="1"/>
  <c r="CD32" i="3"/>
  <c r="CE32" i="3" s="1"/>
  <c r="CD29" i="3"/>
  <c r="CE29" i="3" s="1"/>
  <c r="CD28" i="3"/>
  <c r="CE28" i="3" s="1"/>
  <c r="CD27" i="3"/>
  <c r="CE27" i="3" s="1"/>
  <c r="CD26" i="3"/>
  <c r="CE26" i="3" s="1"/>
  <c r="CD23" i="3"/>
  <c r="CE23" i="3" s="1"/>
  <c r="CD22" i="3"/>
  <c r="CE22" i="3" s="1"/>
  <c r="CD21" i="3"/>
  <c r="CE21" i="3" s="1"/>
  <c r="CD20" i="3"/>
  <c r="CE20" i="3" s="1"/>
  <c r="CD17" i="3"/>
  <c r="CE17" i="3" s="1"/>
  <c r="CD16" i="3"/>
  <c r="CE16" i="3" s="1"/>
  <c r="CD15" i="3"/>
  <c r="CE15" i="3" s="1"/>
  <c r="CD14" i="3"/>
  <c r="CE14" i="3" s="1"/>
  <c r="CD11" i="3"/>
  <c r="CE11" i="3" s="1"/>
  <c r="CD10" i="3"/>
  <c r="CE10" i="3" s="1"/>
  <c r="CD9" i="3"/>
  <c r="CE9" i="3" s="1"/>
  <c r="CD8" i="3"/>
  <c r="CE8" i="3" s="1"/>
  <c r="BQ41" i="2"/>
  <c r="BQ35" i="2"/>
  <c r="BQ29" i="2"/>
  <c r="BQ23" i="2"/>
  <c r="BQ17" i="2"/>
  <c r="BQ40" i="2"/>
  <c r="BQ39" i="2"/>
  <c r="BQ38" i="2"/>
  <c r="BQ34" i="2"/>
  <c r="BQ33" i="2"/>
  <c r="BQ32" i="2"/>
  <c r="BQ28" i="2"/>
  <c r="BQ27" i="2"/>
  <c r="BQ26" i="2"/>
  <c r="BQ22" i="2"/>
  <c r="BQ21" i="2"/>
  <c r="BQ20" i="2"/>
  <c r="BQ16" i="2"/>
  <c r="BQ15" i="2"/>
  <c r="BQ14" i="2"/>
  <c r="BQ11" i="2"/>
  <c r="BQ10" i="2"/>
  <c r="BQ9" i="2"/>
  <c r="BQ8" i="2"/>
  <c r="BX77" i="3" l="1"/>
  <c r="BX76" i="3"/>
  <c r="BX75" i="3"/>
  <c r="BX71" i="3"/>
  <c r="BX70" i="3"/>
  <c r="BX69" i="3"/>
  <c r="BX65" i="3"/>
  <c r="BX64" i="3"/>
  <c r="BX63" i="3"/>
  <c r="BX59" i="3"/>
  <c r="BX58" i="3"/>
  <c r="BX57" i="3"/>
  <c r="BX53" i="3"/>
  <c r="BX52" i="3"/>
  <c r="BX51" i="3"/>
  <c r="BX47" i="3"/>
  <c r="BX46" i="3"/>
  <c r="BX45" i="3"/>
  <c r="BX41" i="3"/>
  <c r="BX40" i="3"/>
  <c r="BX39" i="3"/>
  <c r="BX35" i="3"/>
  <c r="BX34" i="3"/>
  <c r="BX33" i="3"/>
  <c r="BX29" i="3"/>
  <c r="BX28" i="3"/>
  <c r="BX27" i="3"/>
  <c r="BX23" i="3"/>
  <c r="BX22" i="3"/>
  <c r="BX21" i="3"/>
  <c r="BX74" i="3"/>
  <c r="BX68" i="3"/>
  <c r="BX62" i="3"/>
  <c r="BX56" i="3"/>
  <c r="BX50" i="3"/>
  <c r="BX44" i="3"/>
  <c r="BX38" i="3"/>
  <c r="BX32" i="3"/>
  <c r="BX26" i="3"/>
  <c r="BX20" i="3"/>
  <c r="BX14" i="3"/>
  <c r="BX8" i="3"/>
  <c r="BX17" i="3"/>
  <c r="BX16" i="3"/>
  <c r="BX15" i="3"/>
  <c r="BX11" i="3"/>
  <c r="BX10" i="3"/>
  <c r="BX9" i="3"/>
  <c r="AV41" i="1" l="1"/>
  <c r="AV40" i="1"/>
  <c r="AV39" i="1"/>
  <c r="AV38" i="1"/>
  <c r="AV35" i="1"/>
  <c r="AV34" i="1"/>
  <c r="AV33" i="1"/>
  <c r="AV32" i="1"/>
  <c r="AV29" i="1"/>
  <c r="AV28" i="1"/>
  <c r="AV27" i="1"/>
  <c r="AV26" i="1"/>
  <c r="AV23" i="1"/>
  <c r="AV22" i="1"/>
  <c r="AV21" i="1"/>
  <c r="AV20" i="1"/>
  <c r="AV17" i="1"/>
  <c r="AV16" i="1"/>
  <c r="AV15" i="1"/>
  <c r="AV14" i="1"/>
  <c r="AV11" i="1"/>
  <c r="AV10" i="1"/>
  <c r="AV9" i="1"/>
  <c r="AV8" i="1"/>
  <c r="BQ77" i="3"/>
  <c r="BQ76" i="3"/>
  <c r="BQ75" i="3"/>
  <c r="BQ74" i="3"/>
  <c r="BQ71" i="3"/>
  <c r="BQ70" i="3"/>
  <c r="BQ69" i="3"/>
  <c r="BQ68" i="3"/>
  <c r="BQ65" i="3"/>
  <c r="BQ64" i="3"/>
  <c r="BQ63" i="3"/>
  <c r="BQ62" i="3"/>
  <c r="BQ59" i="3"/>
  <c r="BQ58" i="3"/>
  <c r="BQ57" i="3"/>
  <c r="BQ56" i="3"/>
  <c r="BQ53" i="3"/>
  <c r="BQ52" i="3"/>
  <c r="BQ51" i="3"/>
  <c r="BQ50" i="3"/>
  <c r="BQ47" i="3"/>
  <c r="BQ46" i="3"/>
  <c r="BQ45" i="3"/>
  <c r="BQ44" i="3"/>
  <c r="BQ41" i="3"/>
  <c r="BQ40" i="3"/>
  <c r="BQ39" i="3"/>
  <c r="BQ38" i="3"/>
  <c r="BQ35" i="3"/>
  <c r="BQ34" i="3"/>
  <c r="BQ33" i="3"/>
  <c r="BQ32" i="3"/>
  <c r="BQ29" i="3"/>
  <c r="BQ28" i="3"/>
  <c r="BQ27" i="3"/>
  <c r="BQ26" i="3"/>
  <c r="BQ23" i="3"/>
  <c r="BQ22" i="3"/>
  <c r="BQ21" i="3"/>
  <c r="BQ20" i="3"/>
  <c r="BQ17" i="3"/>
  <c r="BQ16" i="3"/>
  <c r="BQ15" i="3"/>
  <c r="BQ14" i="3"/>
  <c r="BQ11" i="3"/>
  <c r="BQ10" i="3"/>
  <c r="BQ9" i="3"/>
  <c r="BQ8" i="3"/>
  <c r="BJ41" i="2"/>
  <c r="BJ40" i="2"/>
  <c r="BJ39" i="2"/>
  <c r="BJ38" i="2"/>
  <c r="BJ35" i="2"/>
  <c r="BJ34" i="2"/>
  <c r="BJ33" i="2"/>
  <c r="BJ32" i="2"/>
  <c r="BJ29" i="2"/>
  <c r="BJ28" i="2"/>
  <c r="BJ27" i="2"/>
  <c r="BJ26" i="2"/>
  <c r="BJ23" i="2"/>
  <c r="BJ22" i="2"/>
  <c r="BJ21" i="2"/>
  <c r="BJ20" i="2"/>
  <c r="BJ17" i="2"/>
  <c r="BJ16" i="2"/>
  <c r="BJ15" i="2"/>
  <c r="BJ14" i="2"/>
  <c r="BJ11" i="2"/>
  <c r="BJ10" i="2"/>
  <c r="BJ9" i="2"/>
  <c r="BJ8" i="2"/>
  <c r="BJ77" i="3" l="1"/>
  <c r="BJ76" i="3"/>
  <c r="BJ75" i="3"/>
  <c r="BJ74" i="3"/>
  <c r="BJ71" i="3"/>
  <c r="BJ70" i="3"/>
  <c r="BJ69" i="3"/>
  <c r="BJ68" i="3"/>
  <c r="BJ65" i="3"/>
  <c r="BJ64" i="3"/>
  <c r="BJ63" i="3"/>
  <c r="BJ62" i="3"/>
  <c r="BJ59" i="3"/>
  <c r="BJ58" i="3"/>
  <c r="BJ57" i="3"/>
  <c r="BJ56" i="3"/>
  <c r="BJ53" i="3"/>
  <c r="BJ52" i="3"/>
  <c r="BJ51" i="3"/>
  <c r="BJ50" i="3"/>
  <c r="BJ47" i="3"/>
  <c r="BJ46" i="3"/>
  <c r="BJ45" i="3"/>
  <c r="BJ44" i="3"/>
  <c r="BJ41" i="3"/>
  <c r="BJ40" i="3"/>
  <c r="BJ39" i="3"/>
  <c r="BJ38" i="3"/>
  <c r="BJ35" i="3"/>
  <c r="BJ34" i="3"/>
  <c r="BJ33" i="3"/>
  <c r="BJ32" i="3"/>
  <c r="BJ29" i="3"/>
  <c r="BJ28" i="3"/>
  <c r="BJ27" i="3"/>
  <c r="BJ26" i="3"/>
  <c r="BJ23" i="3"/>
  <c r="BJ22" i="3"/>
  <c r="BJ21" i="3"/>
  <c r="BJ20" i="3"/>
  <c r="BJ17" i="3"/>
  <c r="BJ16" i="3"/>
  <c r="BJ15" i="3"/>
  <c r="BJ14" i="3"/>
  <c r="BJ11" i="3"/>
  <c r="BJ10" i="3"/>
  <c r="BJ9" i="3"/>
  <c r="BJ8" i="3"/>
  <c r="BC41" i="2"/>
  <c r="BC40" i="2"/>
  <c r="BC39" i="2"/>
  <c r="BC38" i="2"/>
  <c r="BC35" i="2"/>
  <c r="BC34" i="2"/>
  <c r="BC33" i="2"/>
  <c r="BC32" i="2"/>
  <c r="BC29" i="2"/>
  <c r="BC28" i="2"/>
  <c r="BC27" i="2"/>
  <c r="BC26" i="2"/>
  <c r="BC23" i="2"/>
  <c r="BC22" i="2"/>
  <c r="BC21" i="2"/>
  <c r="BC20" i="2"/>
  <c r="BC17" i="2"/>
  <c r="BC16" i="2"/>
  <c r="BC15" i="2"/>
  <c r="BC14" i="2"/>
  <c r="BC11" i="2"/>
  <c r="BC10" i="2"/>
  <c r="BC9" i="2"/>
  <c r="BC8" i="2"/>
  <c r="AO41" i="1"/>
  <c r="AO40" i="1"/>
  <c r="AO39" i="1"/>
  <c r="AO38" i="1"/>
  <c r="AO35" i="1"/>
  <c r="AO34" i="1"/>
  <c r="AO33" i="1"/>
  <c r="AO32" i="1"/>
  <c r="AO29" i="1"/>
  <c r="AO28" i="1"/>
  <c r="AO27" i="1"/>
  <c r="AO26" i="1"/>
  <c r="AO23" i="1"/>
  <c r="AO22" i="1"/>
  <c r="AO21" i="1"/>
  <c r="AO20" i="1"/>
  <c r="AO17" i="1"/>
  <c r="AO16" i="1"/>
  <c r="AO15" i="1"/>
  <c r="AO14" i="1"/>
  <c r="AO11" i="1"/>
  <c r="AO10" i="1"/>
  <c r="AO9" i="1"/>
  <c r="AO8" i="1"/>
  <c r="BC77" i="3" l="1"/>
  <c r="BC76" i="3"/>
  <c r="BC75" i="3"/>
  <c r="BC74" i="3"/>
  <c r="BC71" i="3"/>
  <c r="BC70" i="3"/>
  <c r="BC69" i="3"/>
  <c r="BC68" i="3"/>
  <c r="BC65" i="3"/>
  <c r="BC64" i="3"/>
  <c r="BC63" i="3"/>
  <c r="BC62" i="3"/>
  <c r="BC59" i="3"/>
  <c r="BC58" i="3"/>
  <c r="BC57" i="3"/>
  <c r="BC56" i="3"/>
  <c r="BC53" i="3"/>
  <c r="BC52" i="3"/>
  <c r="BC51" i="3"/>
  <c r="BC50" i="3"/>
  <c r="BC47" i="3"/>
  <c r="BC46" i="3"/>
  <c r="BC45" i="3"/>
  <c r="BC44" i="3"/>
  <c r="BC41" i="3"/>
  <c r="BC40" i="3"/>
  <c r="BC39" i="3"/>
  <c r="BC38" i="3"/>
  <c r="BC35" i="3"/>
  <c r="BC34" i="3"/>
  <c r="BC33" i="3"/>
  <c r="BC32" i="3"/>
  <c r="BC29" i="3"/>
  <c r="BC28" i="3"/>
  <c r="BC27" i="3"/>
  <c r="BC26" i="3"/>
  <c r="BC23" i="3"/>
  <c r="BC22" i="3"/>
  <c r="BC21" i="3"/>
  <c r="BC20" i="3"/>
  <c r="BC17" i="3"/>
  <c r="BC16" i="3"/>
  <c r="BC15" i="3"/>
  <c r="BC14" i="3"/>
  <c r="BC11" i="3"/>
  <c r="BC10" i="3"/>
  <c r="BC9" i="3"/>
  <c r="BC8" i="3"/>
  <c r="AV41" i="2"/>
  <c r="AV40" i="2"/>
  <c r="AV39" i="2"/>
  <c r="AV38" i="2"/>
  <c r="AV35" i="2"/>
  <c r="AV34" i="2"/>
  <c r="AV33" i="2"/>
  <c r="AV32" i="2"/>
  <c r="AV29" i="2"/>
  <c r="AV28" i="2"/>
  <c r="AV27" i="2"/>
  <c r="AV26" i="2"/>
  <c r="AV23" i="2"/>
  <c r="AV22" i="2"/>
  <c r="AV21" i="2"/>
  <c r="AV20" i="2"/>
  <c r="AV17" i="2"/>
  <c r="AV16" i="2"/>
  <c r="AV15" i="2"/>
  <c r="AV14" i="2"/>
  <c r="AV11" i="2"/>
  <c r="AV10" i="2"/>
  <c r="AV9" i="2"/>
  <c r="AV8" i="2"/>
  <c r="AO41" i="2"/>
  <c r="AO40" i="2"/>
  <c r="AO39" i="2"/>
  <c r="AO38" i="2"/>
  <c r="AO35" i="2"/>
  <c r="AO34" i="2"/>
  <c r="AO33" i="2"/>
  <c r="AO32" i="2"/>
  <c r="AO29" i="2"/>
  <c r="AO28" i="2"/>
  <c r="AO27" i="2"/>
  <c r="AO26" i="2"/>
  <c r="AO21" i="2"/>
  <c r="AO23" i="2"/>
  <c r="AO22" i="2"/>
  <c r="AO20" i="2"/>
  <c r="AO17" i="2"/>
  <c r="AO16" i="2"/>
  <c r="AO15" i="2"/>
  <c r="AO14" i="2"/>
  <c r="AO11" i="2"/>
  <c r="AO10" i="2"/>
  <c r="AO9" i="2"/>
  <c r="AO8" i="2"/>
  <c r="AV77" i="3" l="1"/>
  <c r="AV76" i="3"/>
  <c r="AV75" i="3"/>
  <c r="AV74" i="3"/>
  <c r="AV71" i="3"/>
  <c r="AV70" i="3"/>
  <c r="AV69" i="3"/>
  <c r="AV68" i="3"/>
  <c r="AV65" i="3"/>
  <c r="AV64" i="3"/>
  <c r="AV63" i="3"/>
  <c r="AV62" i="3"/>
  <c r="AV59" i="3"/>
  <c r="AV58" i="3"/>
  <c r="AV57" i="3"/>
  <c r="AV56" i="3"/>
  <c r="AV53" i="3"/>
  <c r="AV52" i="3"/>
  <c r="AV51" i="3"/>
  <c r="AV50" i="3"/>
  <c r="AV47" i="3"/>
  <c r="AV46" i="3"/>
  <c r="AV45" i="3"/>
  <c r="AV44" i="3"/>
  <c r="AV41" i="3"/>
  <c r="AV40" i="3"/>
  <c r="AV39" i="3"/>
  <c r="AV38" i="3"/>
  <c r="AV35" i="3"/>
  <c r="AV34" i="3"/>
  <c r="AV33" i="3"/>
  <c r="AV32" i="3"/>
  <c r="AV29" i="3"/>
  <c r="AV28" i="3"/>
  <c r="AV27" i="3"/>
  <c r="AV26" i="3"/>
  <c r="AV23" i="3"/>
  <c r="AV22" i="3"/>
  <c r="AV21" i="3"/>
  <c r="AV20" i="3"/>
  <c r="AV17" i="3"/>
  <c r="AV16" i="3"/>
  <c r="AV15" i="3"/>
  <c r="AV14" i="3"/>
  <c r="AV11" i="3"/>
  <c r="AV10" i="3"/>
  <c r="AV9" i="3"/>
  <c r="AV8" i="3"/>
  <c r="AH41" i="2"/>
  <c r="AH40" i="2"/>
  <c r="AH39" i="2"/>
  <c r="AH38" i="2"/>
  <c r="AH35" i="2"/>
  <c r="AH34" i="2"/>
  <c r="AH33" i="2"/>
  <c r="AH32" i="2"/>
  <c r="AH29" i="2"/>
  <c r="AH28" i="2"/>
  <c r="AH27" i="2"/>
  <c r="AH26" i="2"/>
  <c r="AH23" i="2"/>
  <c r="AH22" i="2"/>
  <c r="AH21" i="2"/>
  <c r="AH20" i="2"/>
  <c r="AH17" i="2"/>
  <c r="AH16" i="2"/>
  <c r="AH15" i="2"/>
  <c r="AH14" i="2"/>
  <c r="AH11" i="2"/>
  <c r="AH10" i="2"/>
  <c r="AH9" i="2"/>
  <c r="AH8" i="2"/>
  <c r="AH41" i="1"/>
  <c r="AH40" i="1"/>
  <c r="AH39" i="1"/>
  <c r="AH38" i="1"/>
  <c r="AH35" i="1"/>
  <c r="AH34" i="1"/>
  <c r="AH33" i="1"/>
  <c r="AH32" i="1"/>
  <c r="AH29" i="1"/>
  <c r="AH28" i="1"/>
  <c r="AH27" i="1"/>
  <c r="AH26" i="1"/>
  <c r="AH23" i="1"/>
  <c r="AH22" i="1"/>
  <c r="AH21" i="1"/>
  <c r="AH20" i="1"/>
  <c r="AH17" i="1"/>
  <c r="AH16" i="1"/>
  <c r="AH15" i="1"/>
  <c r="AH14" i="1"/>
  <c r="AH11" i="1"/>
  <c r="AH10" i="1"/>
  <c r="AH9" i="1"/>
  <c r="AH8" i="1"/>
  <c r="AO77" i="3"/>
  <c r="AO76" i="3"/>
  <c r="AO75" i="3"/>
  <c r="AO74" i="3"/>
  <c r="AO71" i="3"/>
  <c r="AO70" i="3"/>
  <c r="AO69" i="3"/>
  <c r="AO68" i="3"/>
  <c r="AO65" i="3"/>
  <c r="AO64" i="3"/>
  <c r="AO63" i="3"/>
  <c r="AO62" i="3"/>
  <c r="AO59" i="3"/>
  <c r="AO58" i="3"/>
  <c r="AO57" i="3"/>
  <c r="AO56" i="3"/>
  <c r="AO53" i="3"/>
  <c r="AO52" i="3"/>
  <c r="AO51" i="3"/>
  <c r="AO50" i="3"/>
  <c r="AO47" i="3"/>
  <c r="AO46" i="3"/>
  <c r="AO45" i="3"/>
  <c r="AO44" i="3"/>
  <c r="AO41" i="3"/>
  <c r="AO40" i="3"/>
  <c r="AO39" i="3"/>
  <c r="AO38" i="3"/>
  <c r="AO35" i="3"/>
  <c r="AO34" i="3"/>
  <c r="AO33" i="3"/>
  <c r="AO32" i="3"/>
  <c r="AO29" i="3"/>
  <c r="AO28" i="3"/>
  <c r="AO27" i="3"/>
  <c r="AO26" i="3"/>
  <c r="AO23" i="3"/>
  <c r="AO22" i="3"/>
  <c r="AO21" i="3"/>
  <c r="AO20" i="3"/>
  <c r="AO17" i="3"/>
  <c r="AO16" i="3"/>
  <c r="AO15" i="3"/>
  <c r="AO14" i="3"/>
  <c r="AO11" i="3"/>
  <c r="AO10" i="3"/>
  <c r="AO9" i="3"/>
  <c r="AO8" i="3"/>
  <c r="AA41" i="2"/>
  <c r="AA40" i="2"/>
  <c r="AA39" i="2"/>
  <c r="AA38" i="2"/>
  <c r="AA35" i="2"/>
  <c r="AA34" i="2"/>
  <c r="AA33" i="2"/>
  <c r="AA32" i="2"/>
  <c r="AA29" i="2"/>
  <c r="AA28" i="2"/>
  <c r="AA27" i="2"/>
  <c r="AA26" i="2"/>
  <c r="AA23" i="2"/>
  <c r="AA22" i="2"/>
  <c r="AA21" i="2"/>
  <c r="AA20" i="2"/>
  <c r="AA17" i="2"/>
  <c r="AA16" i="2"/>
  <c r="AA15" i="2"/>
  <c r="AA14" i="2"/>
  <c r="AA11" i="2"/>
  <c r="AA10" i="2"/>
  <c r="AA9" i="2"/>
  <c r="AA8" i="2"/>
  <c r="AA41" i="1"/>
  <c r="AA40" i="1"/>
  <c r="AA39" i="1"/>
  <c r="AA38" i="1"/>
  <c r="AA35" i="1"/>
  <c r="AA34" i="1"/>
  <c r="AA33" i="1"/>
  <c r="AA32" i="1"/>
  <c r="AA29" i="1"/>
  <c r="AA28" i="1"/>
  <c r="AA27" i="1"/>
  <c r="AA26" i="1"/>
  <c r="AA23" i="1"/>
  <c r="AA22" i="1"/>
  <c r="AA21" i="1"/>
  <c r="AA20" i="1"/>
  <c r="AA17" i="1"/>
  <c r="AA16" i="1"/>
  <c r="AA15" i="1"/>
  <c r="AA14" i="1"/>
  <c r="AA11" i="1"/>
  <c r="AA10" i="1"/>
  <c r="AA9" i="1"/>
  <c r="AA8" i="1"/>
  <c r="AH77" i="3"/>
  <c r="AH76" i="3"/>
  <c r="AH75" i="3"/>
  <c r="AH74" i="3"/>
  <c r="AH71" i="3"/>
  <c r="AH70" i="3"/>
  <c r="AH69" i="3"/>
  <c r="AH68" i="3"/>
  <c r="AH65" i="3"/>
  <c r="AH64" i="3"/>
  <c r="AH63" i="3"/>
  <c r="AH62" i="3"/>
  <c r="AH59" i="3"/>
  <c r="AH58" i="3"/>
  <c r="AH57" i="3"/>
  <c r="AH56" i="3"/>
  <c r="AH53" i="3"/>
  <c r="AH52" i="3"/>
  <c r="AH51" i="3"/>
  <c r="AH50" i="3"/>
  <c r="AH47" i="3"/>
  <c r="AH46" i="3"/>
  <c r="AH45" i="3"/>
  <c r="AH44" i="3"/>
  <c r="AH41" i="3"/>
  <c r="AH40" i="3"/>
  <c r="AH39" i="3"/>
  <c r="AH38" i="3"/>
  <c r="AH35" i="3"/>
  <c r="AH34" i="3"/>
  <c r="AH33" i="3"/>
  <c r="AH32" i="3"/>
  <c r="AH29" i="3"/>
  <c r="AH28" i="3"/>
  <c r="AH27" i="3"/>
  <c r="AH26" i="3"/>
  <c r="AH23" i="3"/>
  <c r="AH22" i="3"/>
  <c r="AH21" i="3"/>
  <c r="AH20" i="3"/>
  <c r="AH17" i="3"/>
  <c r="AH16" i="3"/>
  <c r="AH15" i="3"/>
  <c r="AH14" i="3"/>
  <c r="AH11" i="3"/>
  <c r="AH10" i="3"/>
  <c r="AH9" i="3"/>
  <c r="AH8" i="3"/>
  <c r="AA77" i="3"/>
  <c r="AA76" i="3"/>
  <c r="AA75" i="3"/>
  <c r="AA74" i="3"/>
  <c r="AA71" i="3"/>
  <c r="AA70" i="3"/>
  <c r="AA69" i="3"/>
  <c r="AA68" i="3"/>
  <c r="AA65" i="3"/>
  <c r="AA64" i="3"/>
  <c r="AA63" i="3"/>
  <c r="AA62" i="3"/>
  <c r="AA59" i="3"/>
  <c r="AA58" i="3"/>
  <c r="AA57" i="3"/>
  <c r="AA56" i="3"/>
  <c r="AA53" i="3"/>
  <c r="AA52" i="3"/>
  <c r="AA51" i="3"/>
  <c r="AA50" i="3"/>
  <c r="AA47" i="3"/>
  <c r="AA46" i="3"/>
  <c r="AA45" i="3"/>
  <c r="AA44" i="3"/>
  <c r="AA41" i="3"/>
  <c r="AA40" i="3"/>
  <c r="AA39" i="3"/>
  <c r="AA38" i="3"/>
  <c r="AA35" i="3"/>
  <c r="AA34" i="3"/>
  <c r="AA33" i="3"/>
  <c r="AA32" i="3"/>
  <c r="AA29" i="3"/>
  <c r="AA28" i="3"/>
  <c r="AA27" i="3"/>
  <c r="AA26" i="3"/>
  <c r="AA23" i="3"/>
  <c r="AA22" i="3"/>
  <c r="AA21" i="3"/>
  <c r="AA20" i="3"/>
  <c r="AA17" i="3"/>
  <c r="AA16" i="3"/>
  <c r="AA15" i="3"/>
  <c r="AA14" i="3"/>
  <c r="AA11" i="3"/>
  <c r="AA10" i="3"/>
  <c r="AA9" i="3"/>
  <c r="AA8" i="3"/>
  <c r="T41" i="2"/>
  <c r="T40" i="2"/>
  <c r="T39" i="2"/>
  <c r="T38" i="2"/>
  <c r="T35" i="2"/>
  <c r="T34" i="2"/>
  <c r="T33" i="2"/>
  <c r="T32" i="2"/>
  <c r="T29" i="2"/>
  <c r="T28" i="2"/>
  <c r="T27" i="2"/>
  <c r="T26" i="2"/>
  <c r="T23" i="2"/>
  <c r="T22" i="2"/>
  <c r="T21" i="2"/>
  <c r="T20" i="2"/>
  <c r="T17" i="2"/>
  <c r="T16" i="2"/>
  <c r="T15" i="2"/>
  <c r="T14" i="2"/>
  <c r="T11" i="2"/>
  <c r="T10" i="2"/>
  <c r="T9" i="2"/>
  <c r="T8" i="2"/>
  <c r="R41" i="1"/>
  <c r="T41" i="1" s="1"/>
  <c r="R40" i="1"/>
  <c r="T40" i="1" s="1"/>
  <c r="R39" i="1"/>
  <c r="T39" i="1" s="1"/>
  <c r="T38" i="1"/>
  <c r="R35" i="1"/>
  <c r="T35" i="1" s="1"/>
  <c r="R34" i="1"/>
  <c r="T34" i="1" s="1"/>
  <c r="R33" i="1"/>
  <c r="T33" i="1" s="1"/>
  <c r="T32" i="1"/>
  <c r="R29" i="1"/>
  <c r="T29" i="1" s="1"/>
  <c r="R28" i="1"/>
  <c r="T28" i="1" s="1"/>
  <c r="R27" i="1"/>
  <c r="T27" i="1" s="1"/>
  <c r="T26" i="1"/>
  <c r="R23" i="1"/>
  <c r="T23" i="1" s="1"/>
  <c r="R22" i="1"/>
  <c r="T22" i="1" s="1"/>
  <c r="R21" i="1"/>
  <c r="T21" i="1" s="1"/>
  <c r="T20" i="1"/>
  <c r="R17" i="1"/>
  <c r="T17" i="1" s="1"/>
  <c r="R16" i="1"/>
  <c r="T16" i="1" s="1"/>
  <c r="R15" i="1"/>
  <c r="T15" i="1" s="1"/>
  <c r="T14" i="1"/>
  <c r="R11" i="1"/>
  <c r="T11" i="1" s="1"/>
  <c r="R10" i="1"/>
  <c r="T10" i="1" s="1"/>
  <c r="R9" i="1"/>
  <c r="T9" i="1" s="1"/>
  <c r="T8" i="1"/>
  <c r="T77" i="3"/>
  <c r="T76" i="3"/>
  <c r="T75" i="3"/>
  <c r="T74" i="3"/>
  <c r="T71" i="3"/>
  <c r="T70" i="3"/>
  <c r="T69" i="3"/>
  <c r="T68" i="3"/>
  <c r="T65" i="3"/>
  <c r="T64" i="3"/>
  <c r="T63" i="3"/>
  <c r="T62" i="3"/>
  <c r="T59" i="3"/>
  <c r="T58" i="3"/>
  <c r="T57" i="3"/>
  <c r="T56" i="3"/>
  <c r="T53" i="3"/>
  <c r="T52" i="3"/>
  <c r="T51" i="3"/>
  <c r="T50" i="3"/>
  <c r="T47" i="3"/>
  <c r="T46" i="3"/>
  <c r="T45" i="3"/>
  <c r="T44" i="3"/>
  <c r="T41" i="3"/>
  <c r="T40" i="3"/>
  <c r="T39" i="3"/>
  <c r="T38" i="3"/>
  <c r="T35" i="3"/>
  <c r="T34" i="3"/>
  <c r="T33" i="3"/>
  <c r="T32" i="3"/>
  <c r="T29" i="3"/>
  <c r="T28" i="3"/>
  <c r="T27" i="3"/>
  <c r="T26" i="3"/>
  <c r="T23" i="3"/>
  <c r="T22" i="3"/>
  <c r="T21" i="3"/>
  <c r="T20" i="3"/>
  <c r="T17" i="3"/>
  <c r="T16" i="3"/>
  <c r="T15" i="3"/>
  <c r="T14" i="3"/>
  <c r="T11" i="3"/>
  <c r="T10" i="3"/>
  <c r="T9" i="3"/>
  <c r="T8" i="3"/>
  <c r="M41" i="2"/>
  <c r="M40" i="2"/>
  <c r="M39" i="2"/>
  <c r="M38" i="2"/>
  <c r="M35" i="2"/>
  <c r="M34" i="2"/>
  <c r="M33" i="2"/>
  <c r="M32" i="2"/>
  <c r="M29" i="2"/>
  <c r="M28" i="2"/>
  <c r="M27" i="2"/>
  <c r="M26" i="2"/>
  <c r="M23" i="2"/>
  <c r="M22" i="2"/>
  <c r="M21" i="2"/>
  <c r="M20" i="2"/>
  <c r="M17" i="2"/>
  <c r="M16" i="2"/>
  <c r="M15" i="2"/>
  <c r="M14" i="2"/>
  <c r="M11" i="2"/>
  <c r="M10" i="2"/>
  <c r="M9" i="2"/>
  <c r="M8" i="2"/>
  <c r="M41" i="1"/>
  <c r="M40" i="1"/>
  <c r="M39" i="1"/>
  <c r="M38" i="1"/>
  <c r="M35" i="1"/>
  <c r="M34" i="1"/>
  <c r="M33" i="1"/>
  <c r="M32" i="1"/>
  <c r="M29" i="1"/>
  <c r="M28" i="1"/>
  <c r="M27" i="1"/>
  <c r="M26" i="1"/>
  <c r="M23" i="1"/>
  <c r="M22" i="1"/>
  <c r="M21" i="1"/>
  <c r="M20" i="1"/>
  <c r="M17" i="1"/>
  <c r="M16" i="1"/>
  <c r="M15" i="1"/>
  <c r="M14" i="1"/>
  <c r="M11" i="1"/>
  <c r="M10" i="1"/>
  <c r="M9" i="1"/>
  <c r="M8" i="1"/>
  <c r="K77" i="3" l="1"/>
  <c r="M77" i="3" s="1"/>
  <c r="K76" i="3"/>
  <c r="M76" i="3" s="1"/>
  <c r="K75" i="3"/>
  <c r="M75" i="3" s="1"/>
  <c r="M74" i="3"/>
  <c r="M71" i="3"/>
  <c r="M70" i="3"/>
  <c r="M69" i="3"/>
  <c r="M68" i="3"/>
  <c r="M65" i="3"/>
  <c r="M64" i="3"/>
  <c r="M63" i="3"/>
  <c r="M62" i="3"/>
  <c r="M59" i="3"/>
  <c r="M58" i="3"/>
  <c r="M57" i="3"/>
  <c r="M56" i="3"/>
  <c r="M53" i="3"/>
  <c r="M52" i="3"/>
  <c r="M51" i="3"/>
  <c r="M50" i="3"/>
  <c r="K47" i="3"/>
  <c r="M47" i="3" s="1"/>
  <c r="K46" i="3"/>
  <c r="M46" i="3" s="1"/>
  <c r="K45" i="3"/>
  <c r="M45" i="3" s="1"/>
  <c r="M44" i="3"/>
  <c r="M41" i="3"/>
  <c r="M40" i="3"/>
  <c r="M39" i="3"/>
  <c r="M38" i="3"/>
  <c r="M35" i="3"/>
  <c r="M34" i="3"/>
  <c r="M33" i="3"/>
  <c r="M32" i="3"/>
  <c r="K29" i="3"/>
  <c r="M29" i="3" s="1"/>
  <c r="K28" i="3"/>
  <c r="M28" i="3" s="1"/>
  <c r="K27" i="3"/>
  <c r="M27" i="3" s="1"/>
  <c r="M26" i="3"/>
  <c r="M23" i="3"/>
  <c r="M22" i="3"/>
  <c r="M21" i="3"/>
  <c r="M20" i="3"/>
  <c r="M17" i="3"/>
  <c r="M16" i="3"/>
  <c r="M15" i="3"/>
  <c r="M14" i="3"/>
  <c r="M11" i="3"/>
  <c r="M10" i="3"/>
  <c r="M9" i="3"/>
  <c r="M8" i="3"/>
  <c r="E77" i="3" l="1"/>
  <c r="F77" i="3" s="1"/>
  <c r="E76" i="3"/>
  <c r="F76" i="3" s="1"/>
  <c r="E75" i="3"/>
  <c r="F75" i="3" s="1"/>
  <c r="E74" i="3"/>
  <c r="F74" i="3" s="1"/>
  <c r="E71" i="3"/>
  <c r="F71" i="3" s="1"/>
  <c r="E70" i="3"/>
  <c r="F70" i="3" s="1"/>
  <c r="E69" i="3"/>
  <c r="F69" i="3" s="1"/>
  <c r="E68" i="3"/>
  <c r="F68" i="3" s="1"/>
  <c r="E65" i="3"/>
  <c r="F65" i="3" s="1"/>
  <c r="E64" i="3"/>
  <c r="F64" i="3" s="1"/>
  <c r="E63" i="3"/>
  <c r="F63" i="3" s="1"/>
  <c r="E62" i="3"/>
  <c r="F62" i="3" s="1"/>
  <c r="E59" i="3"/>
  <c r="F59" i="3" s="1"/>
  <c r="E58" i="3"/>
  <c r="F58" i="3" s="1"/>
  <c r="E57" i="3"/>
  <c r="F57" i="3" s="1"/>
  <c r="E56" i="3"/>
  <c r="F56" i="3" s="1"/>
  <c r="E53" i="3"/>
  <c r="F53" i="3" s="1"/>
  <c r="E52" i="3"/>
  <c r="F52" i="3" s="1"/>
  <c r="E51" i="3"/>
  <c r="F51" i="3" s="1"/>
  <c r="E50" i="3"/>
  <c r="F50" i="3" s="1"/>
  <c r="E47" i="3"/>
  <c r="F47" i="3" s="1"/>
  <c r="E46" i="3"/>
  <c r="F46" i="3" s="1"/>
  <c r="E45" i="3"/>
  <c r="F45" i="3" s="1"/>
  <c r="E44" i="3"/>
  <c r="F44" i="3" s="1"/>
  <c r="E41" i="3"/>
  <c r="F41" i="3" s="1"/>
  <c r="E40" i="3"/>
  <c r="F40" i="3" s="1"/>
  <c r="E39" i="3"/>
  <c r="F39" i="3" s="1"/>
  <c r="E38" i="3"/>
  <c r="F38" i="3" s="1"/>
  <c r="E35" i="3"/>
  <c r="F35" i="3" s="1"/>
  <c r="E34" i="3"/>
  <c r="F34" i="3" s="1"/>
  <c r="E33" i="3"/>
  <c r="F33" i="3" s="1"/>
  <c r="E32" i="3"/>
  <c r="F32" i="3" s="1"/>
  <c r="E29" i="3"/>
  <c r="F29" i="3" s="1"/>
  <c r="E28" i="3"/>
  <c r="F28" i="3" s="1"/>
  <c r="E27" i="3"/>
  <c r="F27" i="3" s="1"/>
  <c r="E26" i="3"/>
  <c r="F26" i="3" s="1"/>
  <c r="E23" i="3"/>
  <c r="F23" i="3" s="1"/>
  <c r="E22" i="3"/>
  <c r="F22" i="3" s="1"/>
  <c r="E21" i="3"/>
  <c r="F21" i="3" s="1"/>
  <c r="E20" i="3"/>
  <c r="F20" i="3" s="1"/>
  <c r="E17" i="3"/>
  <c r="F17" i="3" s="1"/>
  <c r="E16" i="3"/>
  <c r="F16" i="3" s="1"/>
  <c r="E15" i="3"/>
  <c r="F15" i="3" s="1"/>
  <c r="E14" i="3"/>
  <c r="F14" i="3" s="1"/>
  <c r="E11" i="3"/>
  <c r="F11" i="3" s="1"/>
  <c r="E10" i="3"/>
  <c r="F10" i="3" s="1"/>
  <c r="E9" i="3"/>
  <c r="F9" i="3" s="1"/>
  <c r="E8" i="3"/>
  <c r="F8" i="3" s="1"/>
  <c r="E41" i="2"/>
  <c r="F41" i="2" s="1"/>
  <c r="E40" i="2"/>
  <c r="F40" i="2" s="1"/>
  <c r="E39" i="2"/>
  <c r="F39" i="2" s="1"/>
  <c r="E38" i="2"/>
  <c r="F38" i="2" s="1"/>
  <c r="E35" i="2"/>
  <c r="F35" i="2" s="1"/>
  <c r="E34" i="2"/>
  <c r="F34" i="2" s="1"/>
  <c r="E33" i="2"/>
  <c r="F33" i="2" s="1"/>
  <c r="E32" i="2"/>
  <c r="F32" i="2" s="1"/>
  <c r="E29" i="2"/>
  <c r="F29" i="2" s="1"/>
  <c r="E28" i="2"/>
  <c r="F28" i="2" s="1"/>
  <c r="E27" i="2"/>
  <c r="F27" i="2" s="1"/>
  <c r="E26" i="2"/>
  <c r="F26" i="2" s="1"/>
  <c r="E23" i="2"/>
  <c r="F23" i="2" s="1"/>
  <c r="E22" i="2"/>
  <c r="F22" i="2" s="1"/>
  <c r="E21" i="2"/>
  <c r="F21" i="2" s="1"/>
  <c r="E20" i="2"/>
  <c r="F20" i="2" s="1"/>
  <c r="E17" i="2"/>
  <c r="F17" i="2" s="1"/>
  <c r="E16" i="2"/>
  <c r="F16" i="2" s="1"/>
  <c r="E15" i="2"/>
  <c r="F15" i="2" s="1"/>
  <c r="E14" i="2"/>
  <c r="F14" i="2" s="1"/>
  <c r="E11" i="2"/>
  <c r="F11" i="2" s="1"/>
  <c r="E10" i="2"/>
  <c r="F10" i="2" s="1"/>
  <c r="E9" i="2"/>
  <c r="F9" i="2" s="1"/>
  <c r="E8" i="2"/>
  <c r="F8" i="2" s="1"/>
  <c r="E41" i="1"/>
  <c r="F41" i="1" s="1"/>
  <c r="E40" i="1"/>
  <c r="F40" i="1" s="1"/>
  <c r="E39" i="1"/>
  <c r="F39" i="1" s="1"/>
  <c r="E38" i="1"/>
  <c r="F38" i="1" s="1"/>
  <c r="E35" i="1"/>
  <c r="F35" i="1" s="1"/>
  <c r="E34" i="1"/>
  <c r="F34" i="1" s="1"/>
  <c r="E33" i="1"/>
  <c r="F33" i="1" s="1"/>
  <c r="E32" i="1"/>
  <c r="F32" i="1" s="1"/>
  <c r="E29" i="1"/>
  <c r="F29" i="1" s="1"/>
  <c r="E28" i="1"/>
  <c r="F28" i="1" s="1"/>
  <c r="E27" i="1"/>
  <c r="F27" i="1" s="1"/>
  <c r="E26" i="1"/>
  <c r="F26" i="1" s="1"/>
  <c r="E23" i="1"/>
  <c r="F23" i="1" s="1"/>
  <c r="E22" i="1"/>
  <c r="F22" i="1" s="1"/>
  <c r="E21" i="1"/>
  <c r="F21" i="1" s="1"/>
  <c r="E20" i="1"/>
  <c r="F20" i="1" s="1"/>
  <c r="E17" i="1"/>
  <c r="F17" i="1" s="1"/>
  <c r="E16" i="1"/>
  <c r="F16" i="1" s="1"/>
  <c r="E15" i="1"/>
  <c r="F15" i="1" s="1"/>
  <c r="E14" i="1"/>
  <c r="F14" i="1" s="1"/>
  <c r="E11" i="1"/>
  <c r="F11" i="1" s="1"/>
  <c r="E10" i="1"/>
  <c r="F10" i="1" s="1"/>
  <c r="E9" i="1"/>
  <c r="F9" i="1" s="1"/>
  <c r="E8" i="1"/>
  <c r="F8" i="1" s="1"/>
  <c r="F21" i="4" l="1"/>
  <c r="B21" i="4"/>
  <c r="F13" i="4"/>
  <c r="D13" i="4"/>
  <c r="C14" i="4"/>
  <c r="F15" i="4"/>
  <c r="C6" i="4" l="1"/>
  <c r="C5" i="4"/>
  <c r="F5" i="4"/>
  <c r="E22" i="4"/>
  <c r="C22" i="4"/>
  <c r="D24" i="4"/>
  <c r="B24" i="4"/>
  <c r="B23" i="4"/>
  <c r="C24" i="4"/>
  <c r="C23" i="4"/>
  <c r="D23" i="4"/>
  <c r="C21" i="4"/>
  <c r="E23" i="4"/>
  <c r="D21" i="4"/>
  <c r="E18" i="4" s="1"/>
  <c r="E24" i="4"/>
  <c r="F23" i="4"/>
  <c r="F22" i="4"/>
  <c r="D22" i="4"/>
  <c r="B22" i="4"/>
  <c r="E21" i="4"/>
  <c r="F24" i="4"/>
  <c r="B13" i="4"/>
  <c r="D14" i="4"/>
  <c r="E10" i="4" s="1"/>
  <c r="E13" i="4"/>
  <c r="C16" i="4"/>
  <c r="C15" i="4"/>
  <c r="E14" i="4"/>
  <c r="B16" i="4"/>
  <c r="B15" i="4"/>
  <c r="B14" i="4"/>
  <c r="F14" i="4"/>
  <c r="E16" i="4"/>
  <c r="D16" i="4"/>
  <c r="D15" i="4"/>
  <c r="C13" i="4"/>
  <c r="F16" i="4"/>
  <c r="E15" i="4"/>
  <c r="B6" i="4"/>
  <c r="B8" i="4"/>
  <c r="D8" i="4"/>
  <c r="C7" i="4"/>
  <c r="C8" i="4"/>
  <c r="B7" i="4"/>
  <c r="E8" i="4"/>
  <c r="E6" i="4"/>
  <c r="E5" i="4"/>
  <c r="D7" i="4"/>
  <c r="F8" i="4"/>
  <c r="F6" i="4"/>
  <c r="D5" i="4"/>
  <c r="F7" i="4"/>
  <c r="E7" i="4"/>
  <c r="D6" i="4"/>
  <c r="B5" i="4"/>
</calcChain>
</file>

<file path=xl/sharedStrings.xml><?xml version="1.0" encoding="utf-8"?>
<sst xmlns="http://schemas.openxmlformats.org/spreadsheetml/2006/main" count="6504" uniqueCount="293">
  <si>
    <t>INDUSTRIAS CREATIVAS</t>
  </si>
  <si>
    <t>Temática</t>
  </si>
  <si>
    <t>Video Juegos</t>
  </si>
  <si>
    <t xml:space="preserve">Nivel </t>
  </si>
  <si>
    <t>imtermedio</t>
  </si>
  <si>
    <t>MODALIDAD: Híbrido</t>
  </si>
  <si>
    <t>COD.</t>
  </si>
  <si>
    <t xml:space="preserve">RANGOS </t>
  </si>
  <si>
    <t xml:space="preserve">VALOR UNITARIO 
(SIN IVA) </t>
  </si>
  <si>
    <t xml:space="preserve">IVA
(SI APLICA) </t>
  </si>
  <si>
    <t xml:space="preserve">TOTAL </t>
  </si>
  <si>
    <t>Competencias técnicas: de 70 a 120 horas
Habilidades socioemocionales: de 20 a 40 horas</t>
  </si>
  <si>
    <t>TVJI.1</t>
  </si>
  <si>
    <t>Hasta 300 cupos</t>
  </si>
  <si>
    <t>TVJI.2</t>
  </si>
  <si>
    <t>Entre 301 y 400 cupos</t>
  </si>
  <si>
    <t>TVJI.3</t>
  </si>
  <si>
    <t>Entre 401 y 500 cupos</t>
  </si>
  <si>
    <t>TVJI.4</t>
  </si>
  <si>
    <t>Más de 500 cupos</t>
  </si>
  <si>
    <t>Avanzado</t>
  </si>
  <si>
    <t>TOTAL</t>
  </si>
  <si>
    <t>TVJA.1</t>
  </si>
  <si>
    <t>TVJA.2</t>
  </si>
  <si>
    <t>TVJA.3</t>
  </si>
  <si>
    <t>TVJA.4</t>
  </si>
  <si>
    <t>Diseño 3D y VR</t>
  </si>
  <si>
    <t>Intermedio</t>
  </si>
  <si>
    <t>TDDI.1</t>
  </si>
  <si>
    <t>TDDI.2</t>
  </si>
  <si>
    <t>TDDI.3</t>
  </si>
  <si>
    <t>TDDI.4</t>
  </si>
  <si>
    <t>TDDA.1</t>
  </si>
  <si>
    <t>TDDA.2</t>
  </si>
  <si>
    <t>TDDA.3</t>
  </si>
  <si>
    <t>TDDA.4</t>
  </si>
  <si>
    <t>Animación Digital</t>
  </si>
  <si>
    <t>TADI.1</t>
  </si>
  <si>
    <t>TADI.2</t>
  </si>
  <si>
    <t>TADI.3</t>
  </si>
  <si>
    <t>TADI.4</t>
  </si>
  <si>
    <t>TADA.1</t>
  </si>
  <si>
    <t>TADA.2</t>
  </si>
  <si>
    <t>TADA.3</t>
  </si>
  <si>
    <t>TADA.4</t>
  </si>
  <si>
    <t>Propuesta presentada por:</t>
  </si>
  <si>
    <t>PROYECTAMOS COLOMBIA SAS</t>
  </si>
  <si>
    <t>Nit</t>
  </si>
  <si>
    <t>Correo electrónico:</t>
  </si>
  <si>
    <t>900555513-3</t>
  </si>
  <si>
    <t>gerencia@proyectamoscolombia.com</t>
  </si>
  <si>
    <t>ESPECIALISTA TECH, HABILIDADES DIGITALES</t>
  </si>
  <si>
    <t>Ruta Formativa 1</t>
  </si>
  <si>
    <t>Fábrica de desarrolladores</t>
  </si>
  <si>
    <r>
      <t>•</t>
    </r>
    <r>
      <rPr>
        <sz val="14"/>
        <color rgb="FF44546A"/>
        <rFont val="Montserrat"/>
      </rPr>
      <t>Técnica: 80 horas, virtual sincrónico + autoformación.</t>
    </r>
  </si>
  <si>
    <t>RFFDI.1</t>
  </si>
  <si>
    <t>Hasta 500 cupos</t>
  </si>
  <si>
    <r>
      <t>•</t>
    </r>
    <r>
      <rPr>
        <sz val="14"/>
        <color rgb="FF44546A"/>
        <rFont val="Montserrat"/>
      </rPr>
      <t>Toolbox TIC: 24 horas, virtual autoformación.</t>
    </r>
  </si>
  <si>
    <t>RFFDI.2</t>
  </si>
  <si>
    <t>Entre 501 y 1000 cupos</t>
  </si>
  <si>
    <r>
      <t>•</t>
    </r>
    <r>
      <rPr>
        <sz val="14"/>
        <color rgb="FF44546A"/>
        <rFont val="Montserrat"/>
      </rPr>
      <t>English zone: 16 horas, virtual sincrónico</t>
    </r>
  </si>
  <si>
    <t>RFFDI.3</t>
  </si>
  <si>
    <t>Entre 1001 y 1500 cupos</t>
  </si>
  <si>
    <r>
      <t>•</t>
    </r>
    <r>
      <rPr>
        <sz val="14"/>
        <color rgb="FF44546A"/>
        <rFont val="Montserrat"/>
      </rPr>
      <t>Capstone (proyecto): 8 horas, presencial.</t>
    </r>
  </si>
  <si>
    <t>RFFDI.4</t>
  </si>
  <si>
    <t>Más de 1501 cupos</t>
  </si>
  <si>
    <t>RFFDA.1</t>
  </si>
  <si>
    <t>RFFDA.2</t>
  </si>
  <si>
    <t>RFFDA.3</t>
  </si>
  <si>
    <t>RFFDA.4</t>
  </si>
  <si>
    <t>Ruta Formativa 2</t>
  </si>
  <si>
    <t>Laboratorio de IA y Cloud Computing</t>
  </si>
  <si>
    <t>RFLCI.1</t>
  </si>
  <si>
    <t>RFLCI.2</t>
  </si>
  <si>
    <t>RFLCI.3</t>
  </si>
  <si>
    <t>RFLCI.4</t>
  </si>
  <si>
    <t>RFLCA.1</t>
  </si>
  <si>
    <t>RFLCA.2</t>
  </si>
  <si>
    <t>RFLCA.3</t>
  </si>
  <si>
    <t>RFLCA.4</t>
  </si>
  <si>
    <t>Ruta Formativa 3</t>
  </si>
  <si>
    <t>Soluciones de futuro con IA y datos</t>
  </si>
  <si>
    <t>RFSDI.1</t>
  </si>
  <si>
    <t>RFSDI.2</t>
  </si>
  <si>
    <t>RFSDI.3</t>
  </si>
  <si>
    <t>RFSDI.4</t>
  </si>
  <si>
    <t>RFSDA.1</t>
  </si>
  <si>
    <t>RFSDA.2</t>
  </si>
  <si>
    <t>RFSDA.3</t>
  </si>
  <si>
    <t>RFSDA.4</t>
  </si>
  <si>
    <t>Habilidades digitales Ruta Jóvenes con Oportunidades</t>
  </si>
  <si>
    <t>Temática 1</t>
  </si>
  <si>
    <t>Soporte técnico en sistemas</t>
  </si>
  <si>
    <t>Básico</t>
  </si>
  <si>
    <t>Competencias técnicas: de 80 a 100 horas
Habilidades socioemocionales: de 20 horas</t>
  </si>
  <si>
    <t>TSTSB.1</t>
  </si>
  <si>
    <t>Hasta 700 cupos</t>
  </si>
  <si>
    <t>TSTSB.2</t>
  </si>
  <si>
    <t>Entre 701 y 1400 cupos</t>
  </si>
  <si>
    <t>TSTSB.3</t>
  </si>
  <si>
    <t>Entre 1401 y 2000 cupos</t>
  </si>
  <si>
    <t>TSTSB.4</t>
  </si>
  <si>
    <t>Más de 2001 cupos</t>
  </si>
  <si>
    <t>MODALIDAD:Híbrido</t>
  </si>
  <si>
    <t>TSTSI.1</t>
  </si>
  <si>
    <t>TSTSI.2</t>
  </si>
  <si>
    <t>TSTSI.3</t>
  </si>
  <si>
    <t>TSTSI.4</t>
  </si>
  <si>
    <t>TSTSA.1</t>
  </si>
  <si>
    <t>TSTSA.2</t>
  </si>
  <si>
    <t>TSTSA.3</t>
  </si>
  <si>
    <t>TSTSA.4</t>
  </si>
  <si>
    <t>Temática 2</t>
  </si>
  <si>
    <t>Analista de sistemas informáticos</t>
  </si>
  <si>
    <t>TASIB.1</t>
  </si>
  <si>
    <t>TASIB.2</t>
  </si>
  <si>
    <t>TASIB.3</t>
  </si>
  <si>
    <t>TASIB.4</t>
  </si>
  <si>
    <t>TASII.1</t>
  </si>
  <si>
    <t>TASII.2</t>
  </si>
  <si>
    <t>TASII.3</t>
  </si>
  <si>
    <t>TASII.4</t>
  </si>
  <si>
    <t>TASIA.1</t>
  </si>
  <si>
    <t>TASIA.2</t>
  </si>
  <si>
    <t>TASIA.3</t>
  </si>
  <si>
    <t>TASIA.4</t>
  </si>
  <si>
    <t>Temática 3</t>
  </si>
  <si>
    <t>Gestión de mesa de servicio</t>
  </si>
  <si>
    <t>TGMSB.1</t>
  </si>
  <si>
    <t>TGMSB.2</t>
  </si>
  <si>
    <t>TGMSB.3</t>
  </si>
  <si>
    <t>TGMSB.4</t>
  </si>
  <si>
    <t>TGMSI.1</t>
  </si>
  <si>
    <t>TGMSI.2</t>
  </si>
  <si>
    <t>TGMSI.3</t>
  </si>
  <si>
    <t>TGMSI.4</t>
  </si>
  <si>
    <t>TGMSA.1</t>
  </si>
  <si>
    <t>TGMSA.2</t>
  </si>
  <si>
    <t>TGMSA.3</t>
  </si>
  <si>
    <t>TGMSA.4</t>
  </si>
  <si>
    <t>Temática 4</t>
  </si>
  <si>
    <t>Marketing Digital -   Community Manager</t>
  </si>
  <si>
    <t>TMDB.1</t>
  </si>
  <si>
    <t>TMDB.2</t>
  </si>
  <si>
    <t>TMDB.3</t>
  </si>
  <si>
    <t>TMDB.4</t>
  </si>
  <si>
    <t>TMDI.1</t>
  </si>
  <si>
    <t>TMDI.2</t>
  </si>
  <si>
    <t>TMDI.3</t>
  </si>
  <si>
    <t>TMDI.4</t>
  </si>
  <si>
    <t>TMDA.1</t>
  </si>
  <si>
    <t>TMDA.2</t>
  </si>
  <si>
    <t>TMDA.3</t>
  </si>
  <si>
    <t>TMDA.4</t>
  </si>
  <si>
    <t>INSTITUTO COLOMBIANO DE APRENDIZAJE (INCAP) SAS</t>
  </si>
  <si>
    <t>800.216.673-7</t>
  </si>
  <si>
    <t>luis.barbosa@incap.edu.co</t>
  </si>
  <si>
    <t>Universidad Javeriana</t>
  </si>
  <si>
    <t xml:space="preserve">Más de 500 cupos </t>
  </si>
  <si>
    <t xml:space="preserve">Corpración Universitaria Remington </t>
  </si>
  <si>
    <t>811005425-1</t>
  </si>
  <si>
    <t xml:space="preserve">proyectos@uniremington.edu.co </t>
  </si>
  <si>
    <t>CAJA DE COMPENSACIÓN FAMILIAR CAFAM</t>
  </si>
  <si>
    <t>860.013.570-3</t>
  </si>
  <si>
    <t xml:space="preserve">licitacion@cafam.com.co </t>
  </si>
  <si>
    <t>UNIVERSIDAD DE LA SABANA</t>
  </si>
  <si>
    <t>860075558-1</t>
  </si>
  <si>
    <t>camila.rodriguez3@unisabana.edu.co</t>
  </si>
  <si>
    <t>UNIVERSITARIA AGUSTINIANA-UNIAGUSTINIANA</t>
  </si>
  <si>
    <t>830.027.493-6</t>
  </si>
  <si>
    <t>licitaciones@uniagustiniana.edu.co</t>
  </si>
  <si>
    <t xml:space="preserve">CAMPUSLANDS SAS BIC </t>
  </si>
  <si>
    <t>901.628.406-1</t>
  </si>
  <si>
    <t>contacto@campuslands.com</t>
  </si>
  <si>
    <t>CORPORACIÓN INSTITUTO COLOMBIANO DE CUALIFICACIÓN EMPRESARIAL</t>
  </si>
  <si>
    <t>info@cicce.edu.co</t>
  </si>
  <si>
    <t>FUNDACIÓN UNIVERSITARIA COMPENSAR</t>
  </si>
  <si>
    <t>860506140-6</t>
  </si>
  <si>
    <t>contratosyproyectos@ucompensar.edu.co</t>
  </si>
  <si>
    <t>Más de 500 cupos (Hasta 700 personas)</t>
  </si>
  <si>
    <t>FUNDACION UNIVERSITARIA EMPRESARIAL DE LA CAMARA DE COMERCIO DE BOGOTA - UNIEMPRESARIAL</t>
  </si>
  <si>
    <t>830084876-6</t>
  </si>
  <si>
    <t>notificacionesjudiciales@uniempresarial.edu.co / rector@uniempresarial.edu.co</t>
  </si>
  <si>
    <t xml:space="preserve">Corporación Educativa Instituto Metropolitano de Educación -CIME </t>
  </si>
  <si>
    <t>811038955-5</t>
  </si>
  <si>
    <t>luisa.restrepo@ime.edu.co</t>
  </si>
  <si>
    <t>FUNDACIÓN UNIVERSITARIA CAFAM - UNICAFAM</t>
  </si>
  <si>
    <t>900.262.398-4</t>
  </si>
  <si>
    <t>alexander.rojasb@unicafam.edu.co</t>
  </si>
  <si>
    <t>245 cupos</t>
  </si>
  <si>
    <t>175 cupos</t>
  </si>
  <si>
    <t>70 cupos</t>
  </si>
  <si>
    <t>SGS COLOMBIA SAS</t>
  </si>
  <si>
    <t>860.049.921-0</t>
  </si>
  <si>
    <t>co.notificaciones@sgs.com; sugeys.deavila@sgs.com</t>
  </si>
  <si>
    <t>Universidad Ean</t>
  </si>
  <si>
    <t>860.026.058-1</t>
  </si>
  <si>
    <t>dcgutierrez@universidadean.edu.co</t>
  </si>
  <si>
    <r>
      <rPr>
        <sz val="9"/>
        <rFont val="Verdana"/>
        <family val="2"/>
      </rPr>
      <t>COLEGIO DE ESTUDIOS SUPERIORES EN ADMINISTRACIÓN- CESA</t>
    </r>
  </si>
  <si>
    <r>
      <rPr>
        <sz val="9"/>
        <rFont val="Verdana"/>
        <family val="2"/>
      </rPr>
      <t>860.045.740-6</t>
    </r>
  </si>
  <si>
    <r>
      <rPr>
        <u/>
        <sz val="9"/>
        <color rgb="FF0562C1"/>
        <rFont val="Calibri"/>
        <family val="1"/>
      </rPr>
      <t>secretaria.general@cesa.edu.co</t>
    </r>
  </si>
  <si>
    <r>
      <rPr>
        <sz val="11"/>
        <rFont val="Verdana"/>
        <family val="2"/>
      </rPr>
      <t>Soporte técnico en sistemas</t>
    </r>
  </si>
  <si>
    <r>
      <rPr>
        <b/>
        <sz val="11"/>
        <rFont val="Tahoma"/>
        <family val="2"/>
      </rPr>
      <t>Nivel</t>
    </r>
  </si>
  <si>
    <r>
      <rPr>
        <sz val="11"/>
        <rFont val="Verdana"/>
        <family val="2"/>
      </rPr>
      <t>Básico</t>
    </r>
  </si>
  <si>
    <r>
      <rPr>
        <b/>
        <sz val="11"/>
        <rFont val="Tahoma"/>
        <family val="2"/>
      </rPr>
      <t>COD.</t>
    </r>
  </si>
  <si>
    <r>
      <rPr>
        <b/>
        <sz val="11"/>
        <rFont val="Tahoma"/>
        <family val="2"/>
      </rPr>
      <t>RANGOS</t>
    </r>
  </si>
  <si>
    <r>
      <rPr>
        <b/>
        <sz val="11"/>
        <rFont val="Tahoma"/>
        <family val="2"/>
      </rPr>
      <t>VALOR UNITARIO (SIN IVA)</t>
    </r>
  </si>
  <si>
    <r>
      <rPr>
        <b/>
        <sz val="11"/>
        <rFont val="Tahoma"/>
        <family val="2"/>
      </rPr>
      <t>IVA
(SI APLICA)</t>
    </r>
  </si>
  <si>
    <r>
      <rPr>
        <b/>
        <sz val="11"/>
        <rFont val="Tahoma"/>
        <family val="2"/>
      </rPr>
      <t>TOTAL</t>
    </r>
  </si>
  <si>
    <r>
      <rPr>
        <sz val="11"/>
        <rFont val="Verdana"/>
        <family val="2"/>
      </rPr>
      <t>TSTSB.1</t>
    </r>
  </si>
  <si>
    <r>
      <rPr>
        <sz val="11"/>
        <rFont val="Verdana"/>
        <family val="2"/>
      </rPr>
      <t>Hasta 700 cupos</t>
    </r>
  </si>
  <si>
    <r>
      <rPr>
        <sz val="11"/>
        <rFont val="Verdana"/>
        <family val="2"/>
      </rPr>
      <t>$                  -</t>
    </r>
  </si>
  <si>
    <r>
      <rPr>
        <sz val="11"/>
        <rFont val="Verdana"/>
        <family val="2"/>
      </rPr>
      <t>TSTSB.2</t>
    </r>
  </si>
  <si>
    <r>
      <rPr>
        <sz val="11"/>
        <rFont val="Verdana"/>
        <family val="2"/>
      </rPr>
      <t>Entre 701 y 1400 cupos</t>
    </r>
  </si>
  <si>
    <r>
      <rPr>
        <sz val="11"/>
        <rFont val="Verdana"/>
        <family val="2"/>
      </rPr>
      <t>TSTSB.3</t>
    </r>
  </si>
  <si>
    <r>
      <rPr>
        <sz val="11"/>
        <rFont val="Verdana"/>
        <family val="2"/>
      </rPr>
      <t>Entre 1401 y 2000 cupos</t>
    </r>
  </si>
  <si>
    <r>
      <rPr>
        <sz val="11"/>
        <rFont val="Verdana"/>
        <family val="2"/>
      </rPr>
      <t>TSTSB.4</t>
    </r>
  </si>
  <si>
    <r>
      <rPr>
        <sz val="11"/>
        <rFont val="Verdana"/>
        <family val="2"/>
      </rPr>
      <t>Más de 2001 cupos</t>
    </r>
  </si>
  <si>
    <r>
      <rPr>
        <sz val="11"/>
        <rFont val="Verdana"/>
        <family val="2"/>
      </rPr>
      <t>Intermedio</t>
    </r>
  </si>
  <si>
    <r>
      <rPr>
        <sz val="11"/>
        <rFont val="Verdana"/>
        <family val="2"/>
      </rPr>
      <t>TSTSI.1</t>
    </r>
  </si>
  <si>
    <r>
      <rPr>
        <sz val="11"/>
        <rFont val="Verdana"/>
        <family val="2"/>
      </rPr>
      <t>TSTSI.2</t>
    </r>
  </si>
  <si>
    <r>
      <rPr>
        <sz val="11"/>
        <rFont val="Verdana"/>
        <family val="2"/>
      </rPr>
      <t>TSTSI.3</t>
    </r>
  </si>
  <si>
    <r>
      <rPr>
        <sz val="11"/>
        <rFont val="Verdana"/>
        <family val="2"/>
      </rPr>
      <t>TSTSI.4</t>
    </r>
  </si>
  <si>
    <r>
      <rPr>
        <sz val="11"/>
        <rFont val="Verdana"/>
        <family val="2"/>
      </rPr>
      <t>Avanzado</t>
    </r>
  </si>
  <si>
    <r>
      <rPr>
        <sz val="11"/>
        <rFont val="Verdana"/>
        <family val="2"/>
      </rPr>
      <t>TSTSA.1</t>
    </r>
  </si>
  <si>
    <r>
      <rPr>
        <sz val="11"/>
        <rFont val="Verdana"/>
        <family val="2"/>
      </rPr>
      <t>TSTSA.2</t>
    </r>
  </si>
  <si>
    <r>
      <rPr>
        <sz val="11"/>
        <rFont val="Verdana"/>
        <family val="2"/>
      </rPr>
      <t>TSTSA.3</t>
    </r>
  </si>
  <si>
    <r>
      <rPr>
        <sz val="11"/>
        <rFont val="Verdana"/>
        <family val="2"/>
      </rPr>
      <t>TSTSA.4</t>
    </r>
  </si>
  <si>
    <r>
      <rPr>
        <sz val="11"/>
        <rFont val="Verdana"/>
        <family val="2"/>
      </rPr>
      <t>Analista de sistemas informáticos</t>
    </r>
  </si>
  <si>
    <r>
      <rPr>
        <sz val="11"/>
        <rFont val="Verdana"/>
        <family val="2"/>
      </rPr>
      <t>TASIB.1</t>
    </r>
  </si>
  <si>
    <r>
      <rPr>
        <sz val="11"/>
        <rFont val="Verdana"/>
        <family val="2"/>
      </rPr>
      <t>TASIB.2</t>
    </r>
  </si>
  <si>
    <r>
      <rPr>
        <sz val="11"/>
        <rFont val="Verdana"/>
        <family val="2"/>
      </rPr>
      <t>TASIB.3</t>
    </r>
  </si>
  <si>
    <r>
      <rPr>
        <sz val="11"/>
        <rFont val="Verdana"/>
        <family val="2"/>
      </rPr>
      <t>TASIB.4</t>
    </r>
  </si>
  <si>
    <r>
      <rPr>
        <sz val="11"/>
        <rFont val="Verdana"/>
        <family val="2"/>
      </rPr>
      <t>TASII.1</t>
    </r>
  </si>
  <si>
    <r>
      <rPr>
        <sz val="11"/>
        <rFont val="Verdana"/>
        <family val="2"/>
      </rPr>
      <t>TASII.2</t>
    </r>
  </si>
  <si>
    <r>
      <rPr>
        <sz val="11"/>
        <rFont val="Verdana"/>
        <family val="2"/>
      </rPr>
      <t>TASII.3</t>
    </r>
  </si>
  <si>
    <r>
      <rPr>
        <sz val="11"/>
        <rFont val="Verdana"/>
        <family val="2"/>
      </rPr>
      <t>TASII.4</t>
    </r>
  </si>
  <si>
    <r>
      <rPr>
        <sz val="11"/>
        <rFont val="Verdana"/>
        <family val="2"/>
      </rPr>
      <t>TASIA.1</t>
    </r>
  </si>
  <si>
    <r>
      <rPr>
        <sz val="11"/>
        <rFont val="Verdana"/>
        <family val="2"/>
      </rPr>
      <t>TASIA.2</t>
    </r>
  </si>
  <si>
    <r>
      <rPr>
        <sz val="11"/>
        <rFont val="Verdana"/>
        <family val="2"/>
      </rPr>
      <t>TASIA.3</t>
    </r>
  </si>
  <si>
    <r>
      <rPr>
        <sz val="11"/>
        <rFont val="Verdana"/>
        <family val="2"/>
      </rPr>
      <t>TASIA.4</t>
    </r>
  </si>
  <si>
    <r>
      <rPr>
        <sz val="11"/>
        <rFont val="Verdana"/>
        <family val="2"/>
      </rPr>
      <t>Gestión de mesa de servicio</t>
    </r>
  </si>
  <si>
    <r>
      <rPr>
        <sz val="11"/>
        <rFont val="Verdana"/>
        <family val="2"/>
      </rPr>
      <t>TGMSB.</t>
    </r>
  </si>
  <si>
    <r>
      <rPr>
        <sz val="11"/>
        <rFont val="Verdana"/>
        <family val="2"/>
      </rPr>
      <t>T</t>
    </r>
    <r>
      <rPr>
        <vertAlign val="superscript"/>
        <sz val="11"/>
        <rFont val="Verdana"/>
        <family val="2"/>
      </rPr>
      <t>1</t>
    </r>
    <r>
      <rPr>
        <sz val="11"/>
        <rFont val="Verdana"/>
        <family val="2"/>
      </rPr>
      <t>GMSB.</t>
    </r>
  </si>
  <si>
    <r>
      <rPr>
        <sz val="11"/>
        <rFont val="Verdana"/>
        <family val="2"/>
      </rPr>
      <t>T</t>
    </r>
    <r>
      <rPr>
        <vertAlign val="superscript"/>
        <sz val="11"/>
        <rFont val="Verdana"/>
        <family val="2"/>
      </rPr>
      <t>2</t>
    </r>
    <r>
      <rPr>
        <sz val="11"/>
        <rFont val="Verdana"/>
        <family val="2"/>
      </rPr>
      <t>GMSB.</t>
    </r>
  </si>
  <si>
    <r>
      <rPr>
        <sz val="11"/>
        <rFont val="Verdana"/>
        <family val="2"/>
      </rPr>
      <t>T</t>
    </r>
    <r>
      <rPr>
        <vertAlign val="superscript"/>
        <sz val="11"/>
        <rFont val="Verdana"/>
        <family val="2"/>
      </rPr>
      <t>3</t>
    </r>
    <r>
      <rPr>
        <sz val="11"/>
        <rFont val="Verdana"/>
        <family val="2"/>
      </rPr>
      <t>GMSB.</t>
    </r>
  </si>
  <si>
    <r>
      <rPr>
        <sz val="11"/>
        <rFont val="Verdana"/>
        <family val="2"/>
      </rPr>
      <t>TGMSI.1</t>
    </r>
  </si>
  <si>
    <r>
      <rPr>
        <sz val="11"/>
        <rFont val="Verdana"/>
        <family val="2"/>
      </rPr>
      <t>TGMSI.2</t>
    </r>
  </si>
  <si>
    <r>
      <rPr>
        <sz val="11"/>
        <rFont val="Verdana"/>
        <family val="2"/>
      </rPr>
      <t>TGMSI.3</t>
    </r>
  </si>
  <si>
    <r>
      <rPr>
        <sz val="11"/>
        <rFont val="Verdana"/>
        <family val="2"/>
      </rPr>
      <t>TGMSI.4</t>
    </r>
  </si>
  <si>
    <r>
      <rPr>
        <sz val="11"/>
        <rFont val="Verdana"/>
        <family val="2"/>
      </rPr>
      <t>TGMSA.</t>
    </r>
  </si>
  <si>
    <r>
      <rPr>
        <sz val="11"/>
        <rFont val="Verdana"/>
        <family val="2"/>
      </rPr>
      <t>T</t>
    </r>
    <r>
      <rPr>
        <vertAlign val="superscript"/>
        <sz val="11"/>
        <rFont val="Verdana"/>
        <family val="2"/>
      </rPr>
      <t>1</t>
    </r>
    <r>
      <rPr>
        <sz val="11"/>
        <rFont val="Verdana"/>
        <family val="2"/>
      </rPr>
      <t>GMSA.</t>
    </r>
  </si>
  <si>
    <r>
      <rPr>
        <sz val="11"/>
        <rFont val="Verdana"/>
        <family val="2"/>
      </rPr>
      <t>T</t>
    </r>
    <r>
      <rPr>
        <vertAlign val="superscript"/>
        <sz val="11"/>
        <rFont val="Verdana"/>
        <family val="2"/>
      </rPr>
      <t>2</t>
    </r>
    <r>
      <rPr>
        <sz val="11"/>
        <rFont val="Verdana"/>
        <family val="2"/>
      </rPr>
      <t>GMSA.</t>
    </r>
  </si>
  <si>
    <r>
      <rPr>
        <sz val="11"/>
        <rFont val="Verdana"/>
        <family val="2"/>
      </rPr>
      <t>T</t>
    </r>
    <r>
      <rPr>
        <vertAlign val="superscript"/>
        <sz val="11"/>
        <rFont val="Verdana"/>
        <family val="2"/>
      </rPr>
      <t>3</t>
    </r>
    <r>
      <rPr>
        <sz val="11"/>
        <rFont val="Verdana"/>
        <family val="2"/>
      </rPr>
      <t>GMSA.</t>
    </r>
  </si>
  <si>
    <r>
      <rPr>
        <sz val="11"/>
        <rFont val="Verdana"/>
        <family val="2"/>
      </rPr>
      <t>Marketing Digital -  Community Manager</t>
    </r>
  </si>
  <si>
    <r>
      <rPr>
        <sz val="11"/>
        <rFont val="Verdana"/>
        <family val="2"/>
      </rPr>
      <t>TMDB.1</t>
    </r>
  </si>
  <si>
    <r>
      <rPr>
        <sz val="11"/>
        <rFont val="Verdana"/>
        <family val="2"/>
      </rPr>
      <t>TMDB.2</t>
    </r>
  </si>
  <si>
    <r>
      <rPr>
        <sz val="11"/>
        <rFont val="Verdana"/>
        <family val="2"/>
      </rPr>
      <t>TMDB.3</t>
    </r>
  </si>
  <si>
    <r>
      <rPr>
        <sz val="11"/>
        <rFont val="Verdana"/>
        <family val="2"/>
      </rPr>
      <t>TMDB.4</t>
    </r>
  </si>
  <si>
    <r>
      <rPr>
        <sz val="11"/>
        <rFont val="Verdana"/>
        <family val="2"/>
      </rPr>
      <t>TMDI.1</t>
    </r>
  </si>
  <si>
    <r>
      <rPr>
        <sz val="11"/>
        <rFont val="Verdana"/>
        <family val="2"/>
      </rPr>
      <t>TMDI.2</t>
    </r>
  </si>
  <si>
    <r>
      <rPr>
        <sz val="11"/>
        <rFont val="Verdana"/>
        <family val="2"/>
      </rPr>
      <t>TMDI.3</t>
    </r>
  </si>
  <si>
    <r>
      <rPr>
        <sz val="11"/>
        <rFont val="Verdana"/>
        <family val="2"/>
      </rPr>
      <t>TMDI.4</t>
    </r>
  </si>
  <si>
    <r>
      <rPr>
        <sz val="11"/>
        <rFont val="Verdana"/>
        <family val="2"/>
      </rPr>
      <t>TMDA.1</t>
    </r>
  </si>
  <si>
    <r>
      <rPr>
        <sz val="11"/>
        <rFont val="Verdana"/>
        <family val="2"/>
      </rPr>
      <t>TMDA.2</t>
    </r>
  </si>
  <si>
    <r>
      <rPr>
        <sz val="11"/>
        <rFont val="Verdana"/>
        <family val="2"/>
      </rPr>
      <t>TMDA.3</t>
    </r>
  </si>
  <si>
    <r>
      <rPr>
        <sz val="11"/>
        <rFont val="Verdana"/>
        <family val="2"/>
      </rPr>
      <t>TMDA.4</t>
    </r>
  </si>
  <si>
    <t xml:space="preserve">Estadisticas </t>
  </si>
  <si>
    <t>Valor máximo</t>
  </si>
  <si>
    <t>Valor mínimo</t>
  </si>
  <si>
    <t>Promedio</t>
  </si>
  <si>
    <t>Mediana</t>
  </si>
  <si>
    <t>Moda</t>
  </si>
  <si>
    <t>Media Acotada</t>
  </si>
  <si>
    <t>Estadisticas</t>
  </si>
  <si>
    <t>PROCESO 1</t>
  </si>
  <si>
    <t>Media Acotada (MAX)</t>
  </si>
  <si>
    <t>PROCESO 2</t>
  </si>
  <si>
    <t>PRESUPUESTO</t>
  </si>
  <si>
    <t>CUPOS</t>
  </si>
  <si>
    <t>UNIÓN TEMPORAL UT ATENEA-BS-ESCUELA-2024</t>
  </si>
  <si>
    <t>KUEPA EDUTECH S.A.S</t>
  </si>
  <si>
    <t>900241770-1</t>
  </si>
  <si>
    <t>jorge.garcia@kuepa.com</t>
  </si>
  <si>
    <t>901.904.832-1</t>
  </si>
  <si>
    <t>ehernandez@bscolombia.com.co</t>
  </si>
  <si>
    <t>COGNOSONLINE SOLUTIONS COLOMBIA S.A.</t>
  </si>
  <si>
    <t>830.074.045-1</t>
  </si>
  <si>
    <t>esanabria@cognosonline.com</t>
  </si>
  <si>
    <t>Min</t>
  </si>
  <si>
    <t>Max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</si>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</sst>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$-240A]\ #,##0.00"/>
    <numFmt numFmtId="165" formatCode="#,##0.00\ _€"/>
  </numFmts>
  <fonts count="2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u/>
      <sz val="12"/>
      <color theme="10"/>
      <name val="Aptos Narrow"/>
      <family val="2"/>
      <scheme val="minor"/>
    </font>
    <font>
      <sz val="14"/>
      <color theme="1"/>
      <name val="Arial"/>
      <family val="2"/>
    </font>
    <font>
      <sz val="14"/>
      <color rgb="FF44546A"/>
      <name val="Montserrat"/>
    </font>
    <font>
      <b/>
      <sz val="11"/>
      <color theme="1"/>
      <name val="Century Gothic"/>
      <family val="1"/>
    </font>
    <font>
      <sz val="11"/>
      <color theme="1"/>
      <name val="Century Gothic"/>
      <family val="1"/>
    </font>
    <font>
      <sz val="11"/>
      <name val="Calibri"/>
      <family val="2"/>
    </font>
    <font>
      <sz val="11"/>
      <name val="Verdana"/>
      <family val="2"/>
    </font>
    <font>
      <sz val="9"/>
      <color theme="1"/>
      <name val="Aptos Narrow"/>
      <family val="2"/>
      <scheme val="minor"/>
    </font>
    <font>
      <sz val="9"/>
      <name val="Verdana"/>
      <family val="2"/>
    </font>
    <font>
      <u/>
      <sz val="9"/>
      <color theme="10"/>
      <name val="Aptos Narrow"/>
      <family val="2"/>
      <scheme val="minor"/>
    </font>
    <font>
      <u/>
      <sz val="9"/>
      <color rgb="FF0562C1"/>
      <name val="Calibri"/>
      <family val="1"/>
    </font>
    <font>
      <b/>
      <sz val="11"/>
      <name val="Tahoma"/>
      <family val="2"/>
    </font>
    <font>
      <vertAlign val="superscript"/>
      <sz val="11"/>
      <name val="Verdana"/>
      <family val="2"/>
    </font>
    <font>
      <sz val="11"/>
      <color rgb="FF000000"/>
      <name val="Century Gothic"/>
      <family val="2"/>
    </font>
    <font>
      <sz val="12"/>
      <color rgb="FF000000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1"/>
      <name val="Century Gothic"/>
      <family val="1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E7E6E6"/>
        <bgColor rgb="FFE7E6E6"/>
      </patternFill>
    </fill>
    <fill>
      <patternFill patternType="solid">
        <fgColor rgb="FFFBE4D5"/>
        <bgColor rgb="FFFBE4D5"/>
      </patternFill>
    </fill>
    <fill>
      <patternFill patternType="solid">
        <fgColor rgb="FFECECEC"/>
        <bgColor rgb="FFECECEC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70">
    <xf numFmtId="0" fontId="0" fillId="0" borderId="0" xfId="0"/>
    <xf numFmtId="0" fontId="3" fillId="3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44" fontId="3" fillId="4" borderId="5" xfId="1" applyFont="1" applyFill="1" applyBorder="1" applyAlignment="1">
      <alignment horizontal="center" vertical="center" wrapText="1"/>
    </xf>
    <xf numFmtId="44" fontId="3" fillId="4" borderId="6" xfId="1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  <xf numFmtId="44" fontId="3" fillId="4" borderId="3" xfId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6" fillId="0" borderId="16" xfId="2" applyBorder="1" applyAlignment="1">
      <alignment horizontal="left"/>
    </xf>
    <xf numFmtId="164" fontId="4" fillId="0" borderId="8" xfId="0" applyNumberFormat="1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left" vertical="center"/>
    </xf>
    <xf numFmtId="164" fontId="4" fillId="5" borderId="10" xfId="1" applyNumberFormat="1" applyFont="1" applyFill="1" applyBorder="1" applyAlignment="1">
      <alignment horizontal="center" vertical="center"/>
    </xf>
    <xf numFmtId="164" fontId="4" fillId="5" borderId="11" xfId="1" applyNumberFormat="1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left" vertical="center"/>
    </xf>
    <xf numFmtId="164" fontId="5" fillId="0" borderId="15" xfId="0" applyNumberFormat="1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164" fontId="3" fillId="4" borderId="5" xfId="1" applyNumberFormat="1" applyFont="1" applyFill="1" applyBorder="1" applyAlignment="1">
      <alignment horizontal="center" vertical="center" wrapText="1"/>
    </xf>
    <xf numFmtId="164" fontId="3" fillId="4" borderId="6" xfId="1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3" xfId="1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indent="9" readingOrder="1"/>
    </xf>
    <xf numFmtId="0" fontId="7" fillId="0" borderId="23" xfId="0" applyFont="1" applyBorder="1" applyAlignment="1">
      <alignment horizontal="left" vertical="center" indent="9" readingOrder="1"/>
    </xf>
    <xf numFmtId="164" fontId="4" fillId="0" borderId="24" xfId="0" applyNumberFormat="1" applyFont="1" applyBorder="1" applyAlignment="1">
      <alignment horizontal="left" vertical="center" wrapText="1"/>
    </xf>
    <xf numFmtId="164" fontId="4" fillId="5" borderId="25" xfId="1" applyNumberFormat="1" applyFont="1" applyFill="1" applyBorder="1" applyAlignment="1">
      <alignment horizontal="center" vertical="center"/>
    </xf>
    <xf numFmtId="164" fontId="4" fillId="0" borderId="27" xfId="0" applyNumberFormat="1" applyFont="1" applyBorder="1" applyAlignment="1">
      <alignment horizontal="left" vertical="center" wrapText="1"/>
    </xf>
    <xf numFmtId="164" fontId="5" fillId="0" borderId="28" xfId="0" applyNumberFormat="1" applyFont="1" applyBorder="1" applyAlignment="1">
      <alignment horizontal="left" vertical="center"/>
    </xf>
    <xf numFmtId="164" fontId="4" fillId="5" borderId="29" xfId="1" applyNumberFormat="1" applyFont="1" applyFill="1" applyBorder="1" applyAlignment="1">
      <alignment horizontal="center" vertical="center"/>
    </xf>
    <xf numFmtId="164" fontId="4" fillId="5" borderId="28" xfId="1" applyNumberFormat="1" applyFont="1" applyFill="1" applyBorder="1" applyAlignment="1">
      <alignment horizontal="center" vertical="center"/>
    </xf>
    <xf numFmtId="164" fontId="5" fillId="0" borderId="25" xfId="0" applyNumberFormat="1" applyFont="1" applyBorder="1" applyAlignment="1">
      <alignment horizontal="left" vertical="center"/>
    </xf>
    <xf numFmtId="164" fontId="4" fillId="5" borderId="31" xfId="1" applyNumberFormat="1" applyFont="1" applyFill="1" applyBorder="1" applyAlignment="1">
      <alignment horizontal="center" vertical="center"/>
    </xf>
    <xf numFmtId="165" fontId="4" fillId="0" borderId="8" xfId="0" applyNumberFormat="1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left" vertical="center"/>
    </xf>
    <xf numFmtId="165" fontId="4" fillId="5" borderId="10" xfId="1" applyNumberFormat="1" applyFont="1" applyFill="1" applyBorder="1" applyAlignment="1">
      <alignment horizontal="center" vertical="center"/>
    </xf>
    <xf numFmtId="165" fontId="4" fillId="5" borderId="11" xfId="1" applyNumberFormat="1" applyFont="1" applyFill="1" applyBorder="1" applyAlignment="1">
      <alignment horizontal="center" vertical="center"/>
    </xf>
    <xf numFmtId="165" fontId="5" fillId="0" borderId="11" xfId="0" applyNumberFormat="1" applyFont="1" applyBorder="1" applyAlignment="1">
      <alignment horizontal="left" vertical="center"/>
    </xf>
    <xf numFmtId="165" fontId="5" fillId="0" borderId="15" xfId="0" applyNumberFormat="1" applyFont="1" applyBorder="1" applyAlignment="1">
      <alignment horizontal="left" vertical="center"/>
    </xf>
    <xf numFmtId="165" fontId="3" fillId="3" borderId="4" xfId="0" applyNumberFormat="1" applyFont="1" applyFill="1" applyBorder="1" applyAlignment="1">
      <alignment vertical="center" wrapText="1"/>
    </xf>
    <xf numFmtId="165" fontId="4" fillId="0" borderId="3" xfId="0" applyNumberFormat="1" applyFont="1" applyBorder="1" applyAlignment="1">
      <alignment vertical="center" wrapText="1"/>
    </xf>
    <xf numFmtId="165" fontId="3" fillId="4" borderId="5" xfId="1" applyNumberFormat="1" applyFont="1" applyFill="1" applyBorder="1" applyAlignment="1">
      <alignment horizontal="center" vertical="center" wrapText="1"/>
    </xf>
    <xf numFmtId="165" fontId="3" fillId="4" borderId="6" xfId="1" applyNumberFormat="1" applyFont="1" applyFill="1" applyBorder="1" applyAlignment="1">
      <alignment horizontal="center" vertical="center" wrapText="1"/>
    </xf>
    <xf numFmtId="165" fontId="4" fillId="0" borderId="27" xfId="0" applyNumberFormat="1" applyFont="1" applyBorder="1" applyAlignment="1">
      <alignment horizontal="left" vertical="center" wrapText="1"/>
    </xf>
    <xf numFmtId="165" fontId="5" fillId="0" borderId="28" xfId="0" applyNumberFormat="1" applyFont="1" applyBorder="1" applyAlignment="1">
      <alignment horizontal="left" vertical="center"/>
    </xf>
    <xf numFmtId="165" fontId="4" fillId="5" borderId="29" xfId="1" applyNumberFormat="1" applyFont="1" applyFill="1" applyBorder="1" applyAlignment="1">
      <alignment horizontal="center" vertical="center"/>
    </xf>
    <xf numFmtId="165" fontId="4" fillId="5" borderId="28" xfId="1" applyNumberFormat="1" applyFont="1" applyFill="1" applyBorder="1" applyAlignment="1">
      <alignment horizontal="center" vertical="center"/>
    </xf>
    <xf numFmtId="165" fontId="4" fillId="0" borderId="24" xfId="0" applyNumberFormat="1" applyFont="1" applyBorder="1" applyAlignment="1">
      <alignment horizontal="left" vertical="center" wrapText="1"/>
    </xf>
    <xf numFmtId="165" fontId="5" fillId="0" borderId="25" xfId="0" applyNumberFormat="1" applyFont="1" applyBorder="1" applyAlignment="1">
      <alignment horizontal="left" vertical="center"/>
    </xf>
    <xf numFmtId="165" fontId="4" fillId="5" borderId="31" xfId="1" applyNumberFormat="1" applyFont="1" applyFill="1" applyBorder="1" applyAlignment="1">
      <alignment horizontal="center" vertical="center"/>
    </xf>
    <xf numFmtId="165" fontId="4" fillId="5" borderId="25" xfId="1" applyNumberFormat="1" applyFont="1" applyFill="1" applyBorder="1" applyAlignment="1">
      <alignment horizontal="center" vertical="center"/>
    </xf>
    <xf numFmtId="164" fontId="9" fillId="7" borderId="35" xfId="0" applyNumberFormat="1" applyFont="1" applyFill="1" applyBorder="1" applyAlignment="1">
      <alignment horizontal="center" vertical="center" wrapText="1"/>
    </xf>
    <xf numFmtId="164" fontId="9" fillId="7" borderId="36" xfId="0" applyNumberFormat="1" applyFont="1" applyFill="1" applyBorder="1" applyAlignment="1">
      <alignment horizontal="center" vertical="center" wrapText="1"/>
    </xf>
    <xf numFmtId="164" fontId="10" fillId="0" borderId="39" xfId="0" applyNumberFormat="1" applyFont="1" applyBorder="1" applyAlignment="1">
      <alignment horizontal="left" vertical="center" wrapText="1"/>
    </xf>
    <xf numFmtId="164" fontId="10" fillId="0" borderId="40" xfId="0" applyNumberFormat="1" applyFont="1" applyBorder="1" applyAlignment="1">
      <alignment horizontal="left" vertical="center"/>
    </xf>
    <xf numFmtId="164" fontId="10" fillId="8" borderId="41" xfId="0" applyNumberFormat="1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>
      <alignment horizontal="center" vertical="center"/>
    </xf>
    <xf numFmtId="164" fontId="10" fillId="0" borderId="33" xfId="0" applyNumberFormat="1" applyFont="1" applyBorder="1" applyAlignment="1">
      <alignment horizontal="left" vertical="center"/>
    </xf>
    <xf numFmtId="164" fontId="10" fillId="0" borderId="43" xfId="0" applyNumberFormat="1" applyFont="1" applyBorder="1" applyAlignment="1">
      <alignment horizontal="left" vertical="center"/>
    </xf>
    <xf numFmtId="164" fontId="9" fillId="9" borderId="45" xfId="0" applyNumberFormat="1" applyFont="1" applyFill="1" applyBorder="1" applyAlignment="1">
      <alignment vertical="center" wrapText="1"/>
    </xf>
    <xf numFmtId="164" fontId="10" fillId="0" borderId="38" xfId="0" applyNumberFormat="1" applyFont="1" applyBorder="1" applyAlignment="1">
      <alignment vertical="center" wrapText="1"/>
    </xf>
    <xf numFmtId="164" fontId="10" fillId="0" borderId="50" xfId="0" applyNumberFormat="1" applyFont="1" applyBorder="1" applyAlignment="1">
      <alignment horizontal="left" vertical="center" wrapText="1"/>
    </xf>
    <xf numFmtId="164" fontId="10" fillId="0" borderId="51" xfId="0" applyNumberFormat="1" applyFont="1" applyBorder="1" applyAlignment="1">
      <alignment horizontal="left" vertical="center"/>
    </xf>
    <xf numFmtId="164" fontId="10" fillId="8" borderId="52" xfId="0" applyNumberFormat="1" applyFont="1" applyFill="1" applyBorder="1" applyAlignment="1">
      <alignment horizontal="center" vertical="center"/>
    </xf>
    <xf numFmtId="164" fontId="10" fillId="0" borderId="40" xfId="0" applyNumberFormat="1" applyFont="1" applyBorder="1" applyAlignment="1">
      <alignment horizontal="left" vertical="center" wrapText="1"/>
    </xf>
    <xf numFmtId="164" fontId="10" fillId="0" borderId="26" xfId="0" applyNumberFormat="1" applyFont="1" applyBorder="1" applyAlignment="1">
      <alignment horizontal="left" vertical="center"/>
    </xf>
    <xf numFmtId="164" fontId="10" fillId="8" borderId="53" xfId="0" applyNumberFormat="1" applyFont="1" applyFill="1" applyBorder="1" applyAlignment="1">
      <alignment horizontal="center" vertical="center"/>
    </xf>
    <xf numFmtId="164" fontId="3" fillId="4" borderId="26" xfId="1" applyNumberFormat="1" applyFont="1" applyFill="1" applyBorder="1" applyAlignment="1">
      <alignment horizontal="center" vertical="center" wrapText="1"/>
    </xf>
    <xf numFmtId="0" fontId="0" fillId="10" borderId="26" xfId="0" applyFill="1" applyBorder="1" applyAlignment="1">
      <alignment horizontal="center" vertical="center"/>
    </xf>
    <xf numFmtId="164" fontId="4" fillId="0" borderId="26" xfId="0" applyNumberFormat="1" applyFont="1" applyBorder="1" applyAlignment="1">
      <alignment horizontal="left" vertical="center" wrapText="1"/>
    </xf>
    <xf numFmtId="164" fontId="5" fillId="0" borderId="26" xfId="0" applyNumberFormat="1" applyFont="1" applyBorder="1" applyAlignment="1">
      <alignment horizontal="left" vertical="center"/>
    </xf>
    <xf numFmtId="164" fontId="0" fillId="0" borderId="26" xfId="0" applyNumberFormat="1" applyBorder="1"/>
    <xf numFmtId="164" fontId="19" fillId="0" borderId="8" xfId="0" applyNumberFormat="1" applyFont="1" applyBorder="1" applyAlignment="1">
      <alignment horizontal="left" vertical="center" wrapText="1"/>
    </xf>
    <xf numFmtId="164" fontId="5" fillId="0" borderId="54" xfId="0" applyNumberFormat="1" applyFont="1" applyBorder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0" fontId="0" fillId="10" borderId="26" xfId="0" applyFill="1" applyBorder="1" applyAlignment="1">
      <alignment horizontal="center" vertical="center" wrapText="1"/>
    </xf>
    <xf numFmtId="0" fontId="21" fillId="0" borderId="0" xfId="0" applyFont="1"/>
    <xf numFmtId="164" fontId="22" fillId="0" borderId="0" xfId="0" applyNumberFormat="1" applyFont="1" applyAlignment="1">
      <alignment horizontal="left" vertical="center"/>
    </xf>
    <xf numFmtId="164" fontId="0" fillId="11" borderId="26" xfId="0" applyNumberFormat="1" applyFill="1" applyBorder="1"/>
    <xf numFmtId="164" fontId="5" fillId="11" borderId="26" xfId="0" applyNumberFormat="1" applyFont="1" applyFill="1" applyBorder="1" applyAlignment="1">
      <alignment horizontal="left" vertical="center"/>
    </xf>
    <xf numFmtId="164" fontId="21" fillId="0" borderId="0" xfId="0" applyNumberFormat="1" applyFont="1"/>
    <xf numFmtId="4" fontId="21" fillId="0" borderId="0" xfId="0" applyNumberFormat="1" applyFont="1"/>
    <xf numFmtId="164" fontId="10" fillId="0" borderId="55" xfId="0" applyNumberFormat="1" applyFont="1" applyBorder="1" applyAlignment="1">
      <alignment horizontal="left" vertical="center"/>
    </xf>
    <xf numFmtId="164" fontId="10" fillId="8" borderId="56" xfId="0" applyNumberFormat="1" applyFont="1" applyFill="1" applyBorder="1" applyAlignment="1">
      <alignment horizontal="center" vertical="center"/>
    </xf>
    <xf numFmtId="164" fontId="4" fillId="0" borderId="57" xfId="0" applyNumberFormat="1" applyFont="1" applyBorder="1" applyAlignment="1">
      <alignment horizontal="left" vertical="center" wrapText="1"/>
    </xf>
    <xf numFmtId="164" fontId="0" fillId="0" borderId="26" xfId="0" applyNumberFormat="1" applyBorder="1" applyAlignment="1">
      <alignment horizontal="center"/>
    </xf>
    <xf numFmtId="4" fontId="0" fillId="0" borderId="0" xfId="0" applyNumberFormat="1"/>
    <xf numFmtId="9" fontId="0" fillId="0" borderId="0" xfId="3" applyFont="1"/>
    <xf numFmtId="9" fontId="0" fillId="0" borderId="26" xfId="3" applyFont="1" applyBorder="1"/>
    <xf numFmtId="9" fontId="0" fillId="0" borderId="0" xfId="0" applyNumberFormat="1"/>
    <xf numFmtId="0" fontId="20" fillId="0" borderId="0" xfId="0" applyFont="1"/>
    <xf numFmtId="0" fontId="0" fillId="10" borderId="58" xfId="0" applyFill="1" applyBorder="1" applyAlignment="1">
      <alignment horizontal="center" vertical="center"/>
    </xf>
    <xf numFmtId="164" fontId="10" fillId="0" borderId="42" xfId="0" applyNumberFormat="1" applyFont="1" applyBorder="1" applyAlignment="1">
      <alignment horizontal="center" vertical="center"/>
    </xf>
    <xf numFmtId="164" fontId="11" fillId="0" borderId="34" xfId="0" applyNumberFormat="1" applyFont="1" applyBorder="1"/>
    <xf numFmtId="164" fontId="10" fillId="0" borderId="37" xfId="0" applyNumberFormat="1" applyFont="1" applyBorder="1" applyAlignment="1">
      <alignment horizontal="center" vertical="center" wrapText="1"/>
    </xf>
    <xf numFmtId="164" fontId="11" fillId="0" borderId="44" xfId="0" applyNumberFormat="1" applyFont="1" applyBorder="1"/>
    <xf numFmtId="164" fontId="11" fillId="0" borderId="38" xfId="0" applyNumberFormat="1" applyFont="1" applyBorder="1"/>
    <xf numFmtId="164" fontId="9" fillId="7" borderId="37" xfId="0" applyNumberFormat="1" applyFont="1" applyFill="1" applyBorder="1" applyAlignment="1">
      <alignment horizontal="center" vertical="center" wrapText="1"/>
    </xf>
    <xf numFmtId="164" fontId="4" fillId="0" borderId="10" xfId="1" applyNumberFormat="1" applyFont="1" applyFill="1" applyBorder="1" applyAlignment="1">
      <alignment horizontal="center" vertical="center"/>
    </xf>
    <xf numFmtId="164" fontId="4" fillId="0" borderId="12" xfId="1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6" fillId="0" borderId="16" xfId="2" applyBorder="1" applyAlignment="1">
      <alignment horizontal="left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3" xfId="1" applyNumberFormat="1" applyFont="1" applyFill="1" applyBorder="1" applyAlignment="1">
      <alignment horizontal="center" vertical="center" wrapText="1"/>
    </xf>
    <xf numFmtId="164" fontId="4" fillId="0" borderId="1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164" fontId="4" fillId="0" borderId="21" xfId="1" applyNumberFormat="1" applyFont="1" applyFill="1" applyBorder="1" applyAlignment="1">
      <alignment horizontal="center" vertical="center"/>
    </xf>
    <xf numFmtId="164" fontId="4" fillId="0" borderId="22" xfId="1" applyNumberFormat="1" applyFont="1" applyFill="1" applyBorder="1" applyAlignment="1">
      <alignment horizontal="center" vertical="center"/>
    </xf>
    <xf numFmtId="164" fontId="4" fillId="0" borderId="18" xfId="1" applyNumberFormat="1" applyFont="1" applyFill="1" applyBorder="1" applyAlignment="1">
      <alignment horizontal="center" vertical="center"/>
    </xf>
    <xf numFmtId="164" fontId="4" fillId="0" borderId="19" xfId="1" applyNumberFormat="1" applyFont="1" applyFill="1" applyBorder="1" applyAlignment="1">
      <alignment horizontal="center" vertical="center"/>
    </xf>
    <xf numFmtId="164" fontId="4" fillId="0" borderId="10" xfId="1" applyNumberFormat="1" applyFont="1" applyFill="1" applyBorder="1" applyAlignment="1">
      <alignment horizontal="right" vertical="center"/>
    </xf>
    <xf numFmtId="164" fontId="4" fillId="0" borderId="12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31" xfId="1" applyNumberFormat="1" applyFont="1" applyFill="1" applyBorder="1" applyAlignment="1">
      <alignment horizontal="right" vertical="center"/>
    </xf>
    <xf numFmtId="164" fontId="4" fillId="0" borderId="32" xfId="1" applyNumberFormat="1" applyFont="1" applyFill="1" applyBorder="1" applyAlignment="1">
      <alignment horizontal="right" vertical="center"/>
    </xf>
    <xf numFmtId="164" fontId="4" fillId="0" borderId="29" xfId="1" applyNumberFormat="1" applyFont="1" applyFill="1" applyBorder="1" applyAlignment="1">
      <alignment horizontal="right" vertical="center"/>
    </xf>
    <xf numFmtId="164" fontId="4" fillId="0" borderId="30" xfId="1" applyNumberFormat="1" applyFont="1" applyFill="1" applyBorder="1" applyAlignment="1">
      <alignment horizontal="right" vertical="center"/>
    </xf>
    <xf numFmtId="44" fontId="3" fillId="4" borderId="1" xfId="1" applyFont="1" applyFill="1" applyBorder="1" applyAlignment="1">
      <alignment horizontal="center" vertical="center" wrapText="1"/>
    </xf>
    <xf numFmtId="44" fontId="3" fillId="4" borderId="3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10" fillId="0" borderId="46" xfId="0" applyNumberFormat="1" applyFont="1" applyBorder="1" applyAlignment="1">
      <alignment horizontal="center" vertical="center"/>
    </xf>
    <xf numFmtId="164" fontId="11" fillId="0" borderId="47" xfId="0" applyNumberFormat="1" applyFont="1" applyBorder="1"/>
    <xf numFmtId="164" fontId="10" fillId="0" borderId="48" xfId="0" applyNumberFormat="1" applyFont="1" applyBorder="1" applyAlignment="1">
      <alignment horizontal="center" vertical="center"/>
    </xf>
    <xf numFmtId="164" fontId="11" fillId="0" borderId="49" xfId="0" applyNumberFormat="1" applyFont="1" applyBorder="1"/>
    <xf numFmtId="164" fontId="4" fillId="6" borderId="10" xfId="1" applyNumberFormat="1" applyFont="1" applyFill="1" applyBorder="1" applyAlignment="1">
      <alignment horizontal="center" vertical="center"/>
    </xf>
    <xf numFmtId="164" fontId="4" fillId="6" borderId="12" xfId="1" applyNumberFormat="1" applyFont="1" applyFill="1" applyBorder="1" applyAlignment="1">
      <alignment horizontal="center" vertical="center"/>
    </xf>
    <xf numFmtId="164" fontId="4" fillId="0" borderId="37" xfId="0" applyNumberFormat="1" applyFont="1" applyBorder="1" applyAlignment="1">
      <alignment horizontal="center" vertical="center" wrapText="1"/>
    </xf>
    <xf numFmtId="165" fontId="4" fillId="0" borderId="13" xfId="1" applyNumberFormat="1" applyFont="1" applyFill="1" applyBorder="1" applyAlignment="1">
      <alignment horizontal="center" vertical="center"/>
    </xf>
    <xf numFmtId="165" fontId="4" fillId="0" borderId="20" xfId="1" applyNumberFormat="1" applyFont="1" applyFill="1" applyBorder="1" applyAlignment="1">
      <alignment horizontal="center" vertical="center"/>
    </xf>
    <xf numFmtId="165" fontId="4" fillId="0" borderId="21" xfId="1" applyNumberFormat="1" applyFont="1" applyFill="1" applyBorder="1" applyAlignment="1">
      <alignment horizontal="center" vertical="center"/>
    </xf>
    <xf numFmtId="165" fontId="4" fillId="0" borderId="22" xfId="1" applyNumberFormat="1" applyFont="1" applyFill="1" applyBorder="1" applyAlignment="1">
      <alignment horizontal="center" vertical="center"/>
    </xf>
    <xf numFmtId="165" fontId="4" fillId="0" borderId="10" xfId="1" applyNumberFormat="1" applyFont="1" applyFill="1" applyBorder="1" applyAlignment="1">
      <alignment horizontal="center" vertical="center"/>
    </xf>
    <xf numFmtId="165" fontId="4" fillId="0" borderId="12" xfId="1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3" fillId="4" borderId="1" xfId="1" applyNumberFormat="1" applyFont="1" applyFill="1" applyBorder="1" applyAlignment="1">
      <alignment horizontal="center" vertical="center" wrapText="1"/>
    </xf>
    <xf numFmtId="165" fontId="3" fillId="4" borderId="3" xfId="1" applyNumberFormat="1" applyFont="1" applyFill="1" applyBorder="1" applyAlignment="1">
      <alignment horizontal="center" vertical="center" wrapText="1"/>
    </xf>
    <xf numFmtId="165" fontId="4" fillId="0" borderId="18" xfId="1" applyNumberFormat="1" applyFont="1" applyFill="1" applyBorder="1" applyAlignment="1">
      <alignment horizontal="center" vertical="center"/>
    </xf>
    <xf numFmtId="165" fontId="4" fillId="0" borderId="19" xfId="1" applyNumberFormat="1" applyFont="1" applyFill="1" applyBorder="1" applyAlignment="1">
      <alignment horizontal="center" vertical="center"/>
    </xf>
    <xf numFmtId="164" fontId="4" fillId="6" borderId="10" xfId="1" applyNumberFormat="1" applyFont="1" applyFill="1" applyBorder="1" applyAlignment="1">
      <alignment horizontal="right" vertical="center"/>
    </xf>
    <xf numFmtId="164" fontId="4" fillId="6" borderId="12" xfId="1" applyNumberFormat="1" applyFont="1" applyFill="1" applyBorder="1" applyAlignment="1">
      <alignment horizontal="right" vertical="center"/>
    </xf>
    <xf numFmtId="164" fontId="4" fillId="0" borderId="21" xfId="1" applyNumberFormat="1" applyFont="1" applyFill="1" applyBorder="1" applyAlignment="1">
      <alignment horizontal="right" vertical="center"/>
    </xf>
    <xf numFmtId="164" fontId="4" fillId="0" borderId="22" xfId="1" applyNumberFormat="1" applyFont="1" applyFill="1" applyBorder="1" applyAlignment="1">
      <alignment horizontal="right" vertical="center"/>
    </xf>
    <xf numFmtId="164" fontId="4" fillId="0" borderId="18" xfId="1" applyNumberFormat="1" applyFont="1" applyFill="1" applyBorder="1" applyAlignment="1">
      <alignment horizontal="right" vertical="center"/>
    </xf>
    <xf numFmtId="164" fontId="4" fillId="0" borderId="19" xfId="1" applyNumberFormat="1" applyFont="1" applyFill="1" applyBorder="1" applyAlignment="1">
      <alignment horizontal="right" vertical="center"/>
    </xf>
    <xf numFmtId="164" fontId="4" fillId="0" borderId="13" xfId="1" applyNumberFormat="1" applyFont="1" applyFill="1" applyBorder="1" applyAlignment="1">
      <alignment horizontal="right" vertical="center"/>
    </xf>
    <xf numFmtId="164" fontId="4" fillId="0" borderId="20" xfId="1" applyNumberFormat="1" applyFont="1" applyFill="1" applyBorder="1" applyAlignment="1">
      <alignment horizontal="right" vertical="center"/>
    </xf>
    <xf numFmtId="0" fontId="13" fillId="0" borderId="16" xfId="0" applyFont="1" applyBorder="1" applyAlignment="1">
      <alignment horizontal="left"/>
    </xf>
    <xf numFmtId="0" fontId="15" fillId="0" borderId="16" xfId="2" applyFont="1" applyBorder="1" applyAlignment="1">
      <alignment horizontal="left"/>
    </xf>
    <xf numFmtId="164" fontId="4" fillId="0" borderId="10" xfId="1" applyNumberFormat="1" applyFont="1" applyFill="1" applyBorder="1" applyAlignment="1">
      <alignment vertical="center"/>
    </xf>
    <xf numFmtId="164" fontId="4" fillId="0" borderId="12" xfId="1" applyNumberFormat="1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6" fillId="0" borderId="26" xfId="2" applyBorder="1" applyAlignment="1">
      <alignment vertical="center"/>
    </xf>
    <xf numFmtId="0" fontId="9" fillId="0" borderId="7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</cellXfs>
  <cellStyles count="4">
    <cellStyle name="Hipervínculo" xfId="2" builtinId="8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erencia@proyectamoscolombia.com" TargetMode="External"/><Relationship Id="rId3" Type="http://schemas.openxmlformats.org/officeDocument/2006/relationships/hyperlink" Target="mailto:camila.rodriguez3@unisabana.edu.co" TargetMode="External"/><Relationship Id="rId7" Type="http://schemas.openxmlformats.org/officeDocument/2006/relationships/hyperlink" Target="mailto:dcgutierrez@universidadean.edu.co" TargetMode="External"/><Relationship Id="rId2" Type="http://schemas.openxmlformats.org/officeDocument/2006/relationships/hyperlink" Target="mailto:proyectos@uniremington.edu.co" TargetMode="External"/><Relationship Id="rId1" Type="http://schemas.openxmlformats.org/officeDocument/2006/relationships/hyperlink" Target="mailto:gerencia@proyectamoscolombia.com" TargetMode="External"/><Relationship Id="rId6" Type="http://schemas.openxmlformats.org/officeDocument/2006/relationships/hyperlink" Target="mailto:luisa.restrepo@ime.edu.co" TargetMode="External"/><Relationship Id="rId5" Type="http://schemas.openxmlformats.org/officeDocument/2006/relationships/hyperlink" Target="mailto:contratosyproyectos@ucompensar.edu.co" TargetMode="External"/><Relationship Id="rId4" Type="http://schemas.openxmlformats.org/officeDocument/2006/relationships/hyperlink" Target="mailto:licitaciones@uniagustiniana.edu.co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cgutierrez@universidadean.edu.co" TargetMode="External"/><Relationship Id="rId3" Type="http://schemas.openxmlformats.org/officeDocument/2006/relationships/hyperlink" Target="mailto:camila.rodriguez3@unisabana.edu.co" TargetMode="External"/><Relationship Id="rId7" Type="http://schemas.openxmlformats.org/officeDocument/2006/relationships/hyperlink" Target="mailto:contratosyproyectos@ucompensar.edu.co" TargetMode="External"/><Relationship Id="rId2" Type="http://schemas.openxmlformats.org/officeDocument/2006/relationships/hyperlink" Target="mailto:proyectos@uniremington.edu.co" TargetMode="External"/><Relationship Id="rId1" Type="http://schemas.openxmlformats.org/officeDocument/2006/relationships/hyperlink" Target="mailto:gerencia@proyectamoscolombia.com" TargetMode="External"/><Relationship Id="rId6" Type="http://schemas.openxmlformats.org/officeDocument/2006/relationships/hyperlink" Target="mailto:info@cicce.edu.co" TargetMode="External"/><Relationship Id="rId5" Type="http://schemas.openxmlformats.org/officeDocument/2006/relationships/hyperlink" Target="mailto:contacto@campuslands.com" TargetMode="External"/><Relationship Id="rId4" Type="http://schemas.openxmlformats.org/officeDocument/2006/relationships/hyperlink" Target="mailto:licitaciones@uniagustiniana.edu.co" TargetMode="External"/><Relationship Id="rId9" Type="http://schemas.openxmlformats.org/officeDocument/2006/relationships/hyperlink" Target="mailto:gerencia@proyectamoscolombia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tosyproyectos@ucompensar.edu.co" TargetMode="External"/><Relationship Id="rId3" Type="http://schemas.openxmlformats.org/officeDocument/2006/relationships/hyperlink" Target="mailto:proyectos@uniremington.edu.co" TargetMode="External"/><Relationship Id="rId7" Type="http://schemas.openxmlformats.org/officeDocument/2006/relationships/hyperlink" Target="mailto:info@cicce.edu.co" TargetMode="External"/><Relationship Id="rId12" Type="http://schemas.openxmlformats.org/officeDocument/2006/relationships/hyperlink" Target="mailto:gerencia@proyectamoscolombia.com" TargetMode="External"/><Relationship Id="rId2" Type="http://schemas.openxmlformats.org/officeDocument/2006/relationships/hyperlink" Target="mailto:luis.barbosa@incap.edu.co" TargetMode="External"/><Relationship Id="rId1" Type="http://schemas.openxmlformats.org/officeDocument/2006/relationships/hyperlink" Target="mailto:gerencia@proyectamoscolombia.com" TargetMode="External"/><Relationship Id="rId6" Type="http://schemas.openxmlformats.org/officeDocument/2006/relationships/hyperlink" Target="mailto:licitaciones@uniagustiniana.edu.co" TargetMode="External"/><Relationship Id="rId11" Type="http://schemas.openxmlformats.org/officeDocument/2006/relationships/hyperlink" Target="mailto:secretaria.general@cesa.edu.co" TargetMode="External"/><Relationship Id="rId5" Type="http://schemas.openxmlformats.org/officeDocument/2006/relationships/hyperlink" Target="mailto:camila.rodriguez3@unisabana.edu.co" TargetMode="External"/><Relationship Id="rId10" Type="http://schemas.openxmlformats.org/officeDocument/2006/relationships/hyperlink" Target="mailto:dcgutierrez@universidadean.edu.co" TargetMode="External"/><Relationship Id="rId4" Type="http://schemas.openxmlformats.org/officeDocument/2006/relationships/hyperlink" Target="mailto:licitacion@cafam.com.co" TargetMode="External"/><Relationship Id="rId9" Type="http://schemas.openxmlformats.org/officeDocument/2006/relationships/hyperlink" Target="mailto:alexander.rojasb@unicafam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B48E-AE35-B94B-8115-753678374921}">
  <dimension ref="A1:CR45"/>
  <sheetViews>
    <sheetView tabSelected="1" workbookViewId="0">
      <selection activeCell="CI7" sqref="CI7"/>
    </sheetView>
  </sheetViews>
  <sheetFormatPr baseColWidth="10" defaultRowHeight="16" x14ac:dyDescent="0.2"/>
  <cols>
    <col min="1" max="1" width="30.5" customWidth="1"/>
    <col min="2" max="2" width="7.5" bestFit="1" customWidth="1"/>
    <col min="3" max="3" width="20.33203125" bestFit="1" customWidth="1"/>
    <col min="4" max="4" width="14.5" bestFit="1" customWidth="1"/>
    <col min="5" max="5" width="13" bestFit="1" customWidth="1"/>
    <col min="6" max="6" width="5.6640625" bestFit="1" customWidth="1"/>
    <col min="7" max="7" width="10.6640625" bestFit="1" customWidth="1"/>
    <col min="8" max="8" width="2.83203125" customWidth="1"/>
    <col min="9" max="9" width="7.5" bestFit="1" customWidth="1"/>
    <col min="10" max="10" width="27" bestFit="1" customWidth="1"/>
    <col min="11" max="11" width="14.5" bestFit="1" customWidth="1"/>
    <col min="12" max="12" width="8.33203125" bestFit="1" customWidth="1"/>
    <col min="13" max="13" width="16.83203125" bestFit="1" customWidth="1"/>
    <col min="14" max="14" width="10.6640625" bestFit="1" customWidth="1"/>
    <col min="15" max="15" width="2.83203125" customWidth="1"/>
    <col min="18" max="18" width="13.1640625" bestFit="1" customWidth="1"/>
    <col min="19" max="19" width="11" bestFit="1" customWidth="1"/>
    <col min="22" max="22" width="2.83203125" customWidth="1"/>
    <col min="24" max="24" width="20.33203125" bestFit="1" customWidth="1"/>
    <col min="25" max="25" width="15.1640625" bestFit="1" customWidth="1"/>
    <col min="26" max="26" width="11" bestFit="1" customWidth="1"/>
    <col min="27" max="27" width="13.1640625" bestFit="1" customWidth="1"/>
    <col min="29" max="29" width="2.83203125" customWidth="1"/>
    <col min="31" max="31" width="20.33203125" bestFit="1" customWidth="1"/>
    <col min="32" max="32" width="13.33203125" bestFit="1" customWidth="1"/>
    <col min="33" max="33" width="11" bestFit="1" customWidth="1"/>
    <col min="36" max="36" width="2.83203125" customWidth="1"/>
    <col min="38" max="38" width="37.1640625" bestFit="1" customWidth="1"/>
    <col min="39" max="39" width="13.1640625" bestFit="1" customWidth="1"/>
    <col min="40" max="40" width="11" bestFit="1" customWidth="1"/>
    <col min="43" max="43" width="2.83203125" customWidth="1"/>
    <col min="45" max="45" width="20.33203125" bestFit="1" customWidth="1"/>
    <col min="46" max="46" width="13.1640625" bestFit="1" customWidth="1"/>
    <col min="47" max="47" width="11" bestFit="1" customWidth="1"/>
    <col min="50" max="50" width="2.83203125" customWidth="1"/>
    <col min="52" max="52" width="20.33203125" bestFit="1" customWidth="1"/>
    <col min="53" max="54" width="13.83203125" customWidth="1"/>
    <col min="57" max="57" width="2.83203125" customWidth="1"/>
    <col min="59" max="59" width="20.33203125" bestFit="1" customWidth="1"/>
    <col min="60" max="60" width="13.1640625" bestFit="1" customWidth="1"/>
    <col min="61" max="61" width="11" bestFit="1" customWidth="1"/>
    <col min="64" max="64" width="2.83203125" customWidth="1"/>
    <col min="66" max="66" width="20.33203125" bestFit="1" customWidth="1"/>
    <col min="67" max="67" width="13.1640625" bestFit="1" customWidth="1"/>
    <col min="68" max="68" width="11.6640625" bestFit="1" customWidth="1"/>
    <col min="71" max="71" width="2.83203125" customWidth="1"/>
    <col min="73" max="73" width="20.33203125" bestFit="1" customWidth="1"/>
    <col min="74" max="74" width="13.1640625" bestFit="1" customWidth="1"/>
    <col min="75" max="75" width="11.6640625" bestFit="1" customWidth="1"/>
    <col min="78" max="78" width="2.83203125" customWidth="1"/>
    <col min="80" max="80" width="20.33203125" bestFit="1" customWidth="1"/>
    <col min="81" max="81" width="13.1640625" bestFit="1" customWidth="1"/>
    <col min="82" max="82" width="11.6640625" bestFit="1" customWidth="1"/>
    <col min="85" max="85" width="2.83203125" customWidth="1"/>
    <col min="86" max="86" width="16.1640625" customWidth="1"/>
    <col min="87" max="93" width="20.83203125" customWidth="1"/>
    <col min="94" max="94" width="21.33203125" customWidth="1"/>
    <col min="95" max="95" width="35.6640625" bestFit="1" customWidth="1"/>
    <col min="96" max="96" width="24.5" bestFit="1" customWidth="1"/>
  </cols>
  <sheetData>
    <row r="1" spans="1:96" ht="17" thickBot="1" x14ac:dyDescent="0.25">
      <c r="A1" t="s">
        <v>45</v>
      </c>
      <c r="B1" s="101" t="s">
        <v>46</v>
      </c>
      <c r="C1" s="101"/>
      <c r="D1" s="101"/>
      <c r="E1" s="101"/>
      <c r="F1" s="101"/>
      <c r="G1" s="101"/>
      <c r="I1" s="101" t="s">
        <v>157</v>
      </c>
      <c r="J1" s="101"/>
      <c r="K1" s="101"/>
      <c r="L1" s="101"/>
      <c r="M1" s="101"/>
      <c r="N1" s="101"/>
      <c r="P1" s="101" t="s">
        <v>159</v>
      </c>
      <c r="Q1" s="101"/>
      <c r="R1" s="101"/>
      <c r="S1" s="101"/>
      <c r="T1" s="101"/>
      <c r="W1" s="101" t="s">
        <v>165</v>
      </c>
      <c r="X1" s="101"/>
      <c r="Y1" s="101"/>
      <c r="Z1" s="101"/>
      <c r="AA1" s="101"/>
      <c r="AD1" s="101" t="s">
        <v>168</v>
      </c>
      <c r="AE1" s="101"/>
      <c r="AF1" s="101"/>
      <c r="AG1" s="101"/>
      <c r="AH1" s="101"/>
      <c r="AI1" s="7"/>
      <c r="AK1" s="101" t="s">
        <v>176</v>
      </c>
      <c r="AL1" s="101"/>
      <c r="AM1" s="101"/>
      <c r="AN1" s="101"/>
      <c r="AO1" s="101"/>
      <c r="AP1" s="7"/>
      <c r="AR1" s="101" t="s">
        <v>183</v>
      </c>
      <c r="AS1" s="101"/>
      <c r="AT1" s="101"/>
      <c r="AU1" s="101"/>
      <c r="AV1" s="101"/>
      <c r="AW1" s="7"/>
      <c r="AY1" s="101" t="s">
        <v>192</v>
      </c>
      <c r="AZ1" s="101"/>
      <c r="BA1" s="101"/>
      <c r="BB1" s="101"/>
      <c r="BC1" s="101"/>
      <c r="BD1" s="7"/>
      <c r="BF1" s="101" t="s">
        <v>195</v>
      </c>
      <c r="BG1" s="101"/>
      <c r="BH1" s="101"/>
      <c r="BI1" s="101"/>
      <c r="BJ1" s="101"/>
      <c r="BK1" s="7"/>
      <c r="BM1" s="101" t="s">
        <v>281</v>
      </c>
      <c r="BN1" s="101"/>
      <c r="BO1" s="101"/>
      <c r="BP1" s="101"/>
      <c r="BQ1" s="101"/>
      <c r="BR1" s="7"/>
      <c r="BT1" s="101" t="s">
        <v>280</v>
      </c>
      <c r="BU1" s="101"/>
      <c r="BV1" s="101"/>
      <c r="BW1" s="101"/>
      <c r="BX1" s="101"/>
      <c r="BY1" s="7"/>
      <c r="CA1" s="101" t="s">
        <v>286</v>
      </c>
      <c r="CB1" s="101"/>
      <c r="CC1" s="101"/>
      <c r="CD1" s="101"/>
      <c r="CE1" s="101"/>
      <c r="CF1" s="7"/>
      <c r="CH1" t="s">
        <v>267</v>
      </c>
    </row>
    <row r="2" spans="1:96" ht="17" thickBot="1" x14ac:dyDescent="0.25">
      <c r="A2" t="s">
        <v>47</v>
      </c>
      <c r="B2" s="101" t="s">
        <v>49</v>
      </c>
      <c r="C2" s="101"/>
      <c r="D2" s="101"/>
      <c r="E2" s="101"/>
      <c r="F2" s="101"/>
      <c r="G2" s="101"/>
      <c r="I2" s="101"/>
      <c r="J2" s="101"/>
      <c r="K2" s="101"/>
      <c r="L2" s="101"/>
      <c r="M2" s="101"/>
      <c r="N2" s="101"/>
      <c r="P2" s="101" t="s">
        <v>160</v>
      </c>
      <c r="Q2" s="101"/>
      <c r="R2" s="101"/>
      <c r="S2" s="101"/>
      <c r="T2" s="101"/>
      <c r="W2" s="101" t="s">
        <v>166</v>
      </c>
      <c r="X2" s="101"/>
      <c r="Y2" s="101"/>
      <c r="Z2" s="101"/>
      <c r="AA2" s="101"/>
      <c r="AD2" s="101" t="s">
        <v>169</v>
      </c>
      <c r="AE2" s="101"/>
      <c r="AF2" s="101"/>
      <c r="AG2" s="101"/>
      <c r="AH2" s="101"/>
      <c r="AI2" s="7"/>
      <c r="AK2" s="101" t="s">
        <v>177</v>
      </c>
      <c r="AL2" s="101"/>
      <c r="AM2" s="101"/>
      <c r="AN2" s="101"/>
      <c r="AO2" s="101"/>
      <c r="AP2" s="7"/>
      <c r="AR2" s="101" t="s">
        <v>184</v>
      </c>
      <c r="AS2" s="101"/>
      <c r="AT2" s="101"/>
      <c r="AU2" s="101"/>
      <c r="AV2" s="101"/>
      <c r="AW2" s="7"/>
      <c r="AY2" s="101" t="s">
        <v>193</v>
      </c>
      <c r="AZ2" s="101"/>
      <c r="BA2" s="101"/>
      <c r="BB2" s="101"/>
      <c r="BC2" s="101"/>
      <c r="BD2" s="7"/>
      <c r="BF2" s="101" t="s">
        <v>196</v>
      </c>
      <c r="BG2" s="101"/>
      <c r="BH2" s="101"/>
      <c r="BI2" s="101"/>
      <c r="BJ2" s="101"/>
      <c r="BK2" s="7"/>
      <c r="BM2" s="101" t="s">
        <v>282</v>
      </c>
      <c r="BN2" s="101"/>
      <c r="BO2" s="101"/>
      <c r="BP2" s="101"/>
      <c r="BQ2" s="101"/>
      <c r="BR2" s="7"/>
      <c r="BT2" s="101" t="s">
        <v>284</v>
      </c>
      <c r="BU2" s="101"/>
      <c r="BV2" s="101"/>
      <c r="BW2" s="101"/>
      <c r="BX2" s="101"/>
      <c r="BY2" s="7"/>
      <c r="CA2" s="101" t="s">
        <v>287</v>
      </c>
      <c r="CB2" s="101"/>
      <c r="CC2" s="101"/>
      <c r="CD2" s="101"/>
      <c r="CE2" s="101"/>
      <c r="CF2" s="7"/>
    </row>
    <row r="3" spans="1:96" ht="17" thickBot="1" x14ac:dyDescent="0.25">
      <c r="A3" t="s">
        <v>48</v>
      </c>
      <c r="B3" s="102" t="s">
        <v>50</v>
      </c>
      <c r="C3" s="101"/>
      <c r="D3" s="101"/>
      <c r="E3" s="101"/>
      <c r="F3" s="101"/>
      <c r="G3" s="101"/>
      <c r="I3" s="102"/>
      <c r="J3" s="101"/>
      <c r="K3" s="101"/>
      <c r="L3" s="101"/>
      <c r="M3" s="101"/>
      <c r="N3" s="101"/>
      <c r="P3" s="102" t="s">
        <v>161</v>
      </c>
      <c r="Q3" s="101"/>
      <c r="R3" s="101"/>
      <c r="S3" s="101"/>
      <c r="T3" s="101"/>
      <c r="W3" s="102" t="s">
        <v>167</v>
      </c>
      <c r="X3" s="101"/>
      <c r="Y3" s="101"/>
      <c r="Z3" s="101"/>
      <c r="AA3" s="101"/>
      <c r="AD3" s="102" t="s">
        <v>170</v>
      </c>
      <c r="AE3" s="101"/>
      <c r="AF3" s="101"/>
      <c r="AG3" s="101"/>
      <c r="AH3" s="101"/>
      <c r="AI3" s="8"/>
      <c r="AK3" s="102" t="s">
        <v>178</v>
      </c>
      <c r="AL3" s="101"/>
      <c r="AM3" s="101"/>
      <c r="AN3" s="101"/>
      <c r="AO3" s="101"/>
      <c r="AP3" s="8"/>
      <c r="AR3" s="102" t="s">
        <v>185</v>
      </c>
      <c r="AS3" s="101"/>
      <c r="AT3" s="101"/>
      <c r="AU3" s="101"/>
      <c r="AV3" s="101"/>
      <c r="AW3" s="8"/>
      <c r="AY3" s="102" t="s">
        <v>194</v>
      </c>
      <c r="AZ3" s="101"/>
      <c r="BA3" s="101"/>
      <c r="BB3" s="101"/>
      <c r="BC3" s="101"/>
      <c r="BD3" s="8"/>
      <c r="BF3" s="102" t="s">
        <v>197</v>
      </c>
      <c r="BG3" s="101"/>
      <c r="BH3" s="101"/>
      <c r="BI3" s="101"/>
      <c r="BJ3" s="101"/>
      <c r="BK3" s="8"/>
      <c r="BM3" s="102" t="s">
        <v>283</v>
      </c>
      <c r="BN3" s="101"/>
      <c r="BO3" s="101"/>
      <c r="BP3" s="101"/>
      <c r="BQ3" s="101"/>
      <c r="BR3" s="8"/>
      <c r="BT3" s="102" t="s">
        <v>285</v>
      </c>
      <c r="BU3" s="101"/>
      <c r="BV3" s="101"/>
      <c r="BW3" s="101"/>
      <c r="BX3" s="101"/>
      <c r="BY3" s="8"/>
      <c r="CA3" s="102" t="s">
        <v>288</v>
      </c>
      <c r="CB3" s="101"/>
      <c r="CC3" s="101"/>
      <c r="CD3" s="101"/>
      <c r="CE3" s="101"/>
      <c r="CF3" s="8"/>
    </row>
    <row r="4" spans="1:96" ht="7" customHeight="1" thickBot="1" x14ac:dyDescent="0.25">
      <c r="B4" s="7"/>
      <c r="C4" s="7"/>
      <c r="D4" s="7"/>
      <c r="E4" s="7"/>
      <c r="F4" s="7"/>
      <c r="G4" s="7"/>
    </row>
    <row r="5" spans="1:96" ht="17" thickBot="1" x14ac:dyDescent="0.25">
      <c r="A5" s="128" t="s">
        <v>0</v>
      </c>
      <c r="B5" s="129"/>
      <c r="C5" s="129"/>
      <c r="D5" s="129"/>
      <c r="E5" s="129"/>
      <c r="F5" s="129"/>
      <c r="G5" s="130"/>
    </row>
    <row r="6" spans="1:96" ht="31" thickBot="1" x14ac:dyDescent="0.25">
      <c r="A6" s="1" t="s">
        <v>1</v>
      </c>
      <c r="B6" s="116" t="s">
        <v>2</v>
      </c>
      <c r="C6" s="117"/>
      <c r="D6" s="117"/>
      <c r="E6" s="118"/>
      <c r="F6" s="1" t="s">
        <v>3</v>
      </c>
      <c r="G6" s="2" t="s">
        <v>4</v>
      </c>
      <c r="M6" s="1" t="s">
        <v>3</v>
      </c>
      <c r="N6" s="2" t="s">
        <v>4</v>
      </c>
      <c r="P6" s="116" t="s">
        <v>2</v>
      </c>
      <c r="Q6" s="117"/>
      <c r="R6" s="117"/>
      <c r="S6" s="118"/>
      <c r="T6" s="1" t="s">
        <v>3</v>
      </c>
      <c r="U6" s="2" t="s">
        <v>4</v>
      </c>
      <c r="W6" s="116" t="s">
        <v>2</v>
      </c>
      <c r="X6" s="117"/>
      <c r="Y6" s="117"/>
      <c r="Z6" s="118"/>
      <c r="AA6" s="1" t="s">
        <v>3</v>
      </c>
      <c r="AB6" s="2" t="s">
        <v>4</v>
      </c>
      <c r="AD6" s="116" t="s">
        <v>2</v>
      </c>
      <c r="AE6" s="117"/>
      <c r="AF6" s="117"/>
      <c r="AG6" s="118"/>
      <c r="AH6" s="1" t="s">
        <v>3</v>
      </c>
      <c r="AI6" s="2" t="s">
        <v>4</v>
      </c>
      <c r="AK6" s="116" t="s">
        <v>2</v>
      </c>
      <c r="AL6" s="117"/>
      <c r="AM6" s="117"/>
      <c r="AN6" s="118"/>
      <c r="AO6" s="1" t="s">
        <v>3</v>
      </c>
      <c r="AP6" s="2" t="s">
        <v>4</v>
      </c>
      <c r="AR6" s="103" t="s">
        <v>2</v>
      </c>
      <c r="AS6" s="104"/>
      <c r="AT6" s="104"/>
      <c r="AU6" s="105"/>
      <c r="AV6" s="18" t="s">
        <v>3</v>
      </c>
      <c r="AW6" s="19" t="s">
        <v>4</v>
      </c>
      <c r="AY6" s="103" t="s">
        <v>2</v>
      </c>
      <c r="AZ6" s="104"/>
      <c r="BA6" s="104"/>
      <c r="BB6" s="105"/>
      <c r="BC6" s="18" t="s">
        <v>3</v>
      </c>
      <c r="BD6" s="19" t="s">
        <v>4</v>
      </c>
      <c r="BF6" s="103" t="s">
        <v>2</v>
      </c>
      <c r="BG6" s="104"/>
      <c r="BH6" s="104"/>
      <c r="BI6" s="105"/>
      <c r="BJ6" s="18" t="s">
        <v>3</v>
      </c>
      <c r="BK6" s="19" t="s">
        <v>4</v>
      </c>
      <c r="BM6" s="95" t="s">
        <v>2</v>
      </c>
      <c r="BN6" s="96"/>
      <c r="BO6" s="96"/>
      <c r="BP6" s="97"/>
      <c r="BQ6" s="60" t="s">
        <v>3</v>
      </c>
      <c r="BR6" s="61" t="s">
        <v>4</v>
      </c>
      <c r="BT6" s="103" t="s">
        <v>2</v>
      </c>
      <c r="BU6" s="104"/>
      <c r="BV6" s="104"/>
      <c r="BW6" s="105"/>
      <c r="BX6" s="18" t="s">
        <v>3</v>
      </c>
      <c r="BY6" s="19" t="s">
        <v>4</v>
      </c>
      <c r="CA6" s="103" t="s">
        <v>2</v>
      </c>
      <c r="CB6" s="104"/>
      <c r="CC6" s="104"/>
      <c r="CD6" s="105"/>
      <c r="CE6" s="18" t="s">
        <v>3</v>
      </c>
      <c r="CF6" s="19" t="s">
        <v>4</v>
      </c>
    </row>
    <row r="7" spans="1:96" ht="46" thickBot="1" x14ac:dyDescent="0.25">
      <c r="A7" s="3" t="s">
        <v>5</v>
      </c>
      <c r="B7" s="3" t="s">
        <v>6</v>
      </c>
      <c r="C7" s="3" t="s">
        <v>7</v>
      </c>
      <c r="D7" s="3" t="s">
        <v>8</v>
      </c>
      <c r="E7" s="4" t="s">
        <v>9</v>
      </c>
      <c r="F7" s="123" t="s">
        <v>10</v>
      </c>
      <c r="G7" s="124"/>
      <c r="I7" s="3" t="s">
        <v>6</v>
      </c>
      <c r="J7" s="3" t="s">
        <v>7</v>
      </c>
      <c r="K7" s="3" t="s">
        <v>8</v>
      </c>
      <c r="L7" s="4" t="s">
        <v>9</v>
      </c>
      <c r="M7" s="123" t="s">
        <v>21</v>
      </c>
      <c r="N7" s="124"/>
      <c r="P7" s="20" t="s">
        <v>6</v>
      </c>
      <c r="Q7" s="20" t="s">
        <v>7</v>
      </c>
      <c r="R7" s="20" t="s">
        <v>8</v>
      </c>
      <c r="S7" s="21" t="s">
        <v>9</v>
      </c>
      <c r="T7" s="106" t="s">
        <v>21</v>
      </c>
      <c r="U7" s="107"/>
      <c r="W7" s="20" t="s">
        <v>6</v>
      </c>
      <c r="X7" s="20" t="s">
        <v>7</v>
      </c>
      <c r="Y7" s="20" t="s">
        <v>8</v>
      </c>
      <c r="Z7" s="21" t="s">
        <v>9</v>
      </c>
      <c r="AA7" s="106" t="s">
        <v>21</v>
      </c>
      <c r="AB7" s="107"/>
      <c r="AD7" s="20" t="s">
        <v>6</v>
      </c>
      <c r="AE7" s="20" t="s">
        <v>7</v>
      </c>
      <c r="AF7" s="20" t="s">
        <v>8</v>
      </c>
      <c r="AG7" s="21" t="s">
        <v>9</v>
      </c>
      <c r="AH7" s="106" t="s">
        <v>21</v>
      </c>
      <c r="AI7" s="107"/>
      <c r="AK7" s="20" t="s">
        <v>6</v>
      </c>
      <c r="AL7" s="20" t="s">
        <v>7</v>
      </c>
      <c r="AM7" s="20" t="s">
        <v>8</v>
      </c>
      <c r="AN7" s="21" t="s">
        <v>9</v>
      </c>
      <c r="AO7" s="106" t="s">
        <v>21</v>
      </c>
      <c r="AP7" s="107"/>
      <c r="AR7" s="20" t="s">
        <v>6</v>
      </c>
      <c r="AS7" s="20" t="s">
        <v>7</v>
      </c>
      <c r="AT7" s="20" t="s">
        <v>8</v>
      </c>
      <c r="AU7" s="21" t="s">
        <v>9</v>
      </c>
      <c r="AV7" s="106" t="s">
        <v>21</v>
      </c>
      <c r="AW7" s="107"/>
      <c r="AY7" s="20" t="s">
        <v>6</v>
      </c>
      <c r="AZ7" s="20" t="s">
        <v>7</v>
      </c>
      <c r="BA7" s="20" t="s">
        <v>8</v>
      </c>
      <c r="BB7" s="21" t="s">
        <v>9</v>
      </c>
      <c r="BC7" s="106" t="s">
        <v>21</v>
      </c>
      <c r="BD7" s="107"/>
      <c r="BF7" s="20" t="s">
        <v>6</v>
      </c>
      <c r="BG7" s="20" t="s">
        <v>7</v>
      </c>
      <c r="BH7" s="20" t="s">
        <v>8</v>
      </c>
      <c r="BI7" s="21" t="s">
        <v>9</v>
      </c>
      <c r="BJ7" s="106" t="s">
        <v>21</v>
      </c>
      <c r="BK7" s="107"/>
      <c r="BM7" s="52" t="s">
        <v>6</v>
      </c>
      <c r="BN7" s="52" t="s">
        <v>7</v>
      </c>
      <c r="BO7" s="52" t="s">
        <v>8</v>
      </c>
      <c r="BP7" s="53" t="s">
        <v>9</v>
      </c>
      <c r="BQ7" s="98" t="s">
        <v>21</v>
      </c>
      <c r="BR7" s="97"/>
      <c r="BT7" s="20" t="s">
        <v>6</v>
      </c>
      <c r="BU7" s="20" t="s">
        <v>7</v>
      </c>
      <c r="BV7" s="20" t="s">
        <v>8</v>
      </c>
      <c r="BW7" s="21" t="s">
        <v>9</v>
      </c>
      <c r="BX7" s="106" t="s">
        <v>21</v>
      </c>
      <c r="BY7" s="107"/>
      <c r="CA7" s="20" t="s">
        <v>6</v>
      </c>
      <c r="CB7" s="20" t="s">
        <v>7</v>
      </c>
      <c r="CC7" s="20" t="s">
        <v>8</v>
      </c>
      <c r="CD7" s="21" t="s">
        <v>9</v>
      </c>
      <c r="CE7" s="106" t="s">
        <v>21</v>
      </c>
      <c r="CF7" s="107"/>
      <c r="CH7" s="68" t="s">
        <v>6</v>
      </c>
      <c r="CI7" s="68" t="s">
        <v>7</v>
      </c>
      <c r="CJ7" s="69" t="s">
        <v>268</v>
      </c>
      <c r="CK7" s="69" t="s">
        <v>269</v>
      </c>
      <c r="CL7" s="69" t="s">
        <v>270</v>
      </c>
      <c r="CM7" s="69" t="s">
        <v>273</v>
      </c>
      <c r="CN7" s="69" t="s">
        <v>271</v>
      </c>
      <c r="CO7" s="69" t="s">
        <v>272</v>
      </c>
      <c r="CQ7" s="92" t="s">
        <v>291</v>
      </c>
      <c r="CR7" s="92" t="s">
        <v>292</v>
      </c>
    </row>
    <row r="8" spans="1:96" x14ac:dyDescent="0.2">
      <c r="A8" s="125" t="s">
        <v>11</v>
      </c>
      <c r="B8" s="9" t="s">
        <v>12</v>
      </c>
      <c r="C8" s="10" t="s">
        <v>13</v>
      </c>
      <c r="D8" s="11">
        <v>3500000</v>
      </c>
      <c r="E8" s="12">
        <f>(D8*19)/100</f>
        <v>665000</v>
      </c>
      <c r="F8" s="99">
        <f>D8+E8</f>
        <v>4165000</v>
      </c>
      <c r="G8" s="100"/>
      <c r="I8" s="9" t="s">
        <v>12</v>
      </c>
      <c r="J8" s="10" t="s">
        <v>13</v>
      </c>
      <c r="K8" s="11">
        <v>2950000</v>
      </c>
      <c r="L8" s="12">
        <v>0</v>
      </c>
      <c r="M8" s="114">
        <f>+K8+L8</f>
        <v>2950000</v>
      </c>
      <c r="N8" s="115"/>
      <c r="P8" s="9" t="s">
        <v>12</v>
      </c>
      <c r="Q8" s="10" t="s">
        <v>13</v>
      </c>
      <c r="R8" s="11">
        <v>2400000</v>
      </c>
      <c r="S8" s="12">
        <v>0</v>
      </c>
      <c r="T8" s="114">
        <f>R8+S8</f>
        <v>2400000</v>
      </c>
      <c r="U8" s="115"/>
      <c r="W8" s="9" t="s">
        <v>12</v>
      </c>
      <c r="X8" s="10" t="s">
        <v>13</v>
      </c>
      <c r="Y8" s="11">
        <v>387000000</v>
      </c>
      <c r="Z8" s="12">
        <v>0</v>
      </c>
      <c r="AA8" s="114">
        <f>+Y8/300</f>
        <v>1290000</v>
      </c>
      <c r="AB8" s="115"/>
      <c r="AD8" s="9" t="s">
        <v>12</v>
      </c>
      <c r="AE8" s="10" t="s">
        <v>13</v>
      </c>
      <c r="AF8" s="11">
        <v>2003385.3502446262</v>
      </c>
      <c r="AG8" s="12">
        <v>0</v>
      </c>
      <c r="AH8" s="114">
        <f>AF8+AG8</f>
        <v>2003385.3502446262</v>
      </c>
      <c r="AI8" s="115"/>
      <c r="AK8" s="9" t="s">
        <v>12</v>
      </c>
      <c r="AL8" s="10" t="s">
        <v>13</v>
      </c>
      <c r="AM8" s="11">
        <v>8400000</v>
      </c>
      <c r="AN8" s="12">
        <v>0</v>
      </c>
      <c r="AO8" s="99">
        <f>AM8+AN8</f>
        <v>8400000</v>
      </c>
      <c r="AP8" s="100"/>
      <c r="AR8" s="9" t="s">
        <v>12</v>
      </c>
      <c r="AS8" s="10" t="s">
        <v>13</v>
      </c>
      <c r="AT8" s="11">
        <v>2100000</v>
      </c>
      <c r="AU8" s="12">
        <v>0</v>
      </c>
      <c r="AV8" s="99">
        <f>AT8+AU8</f>
        <v>2100000</v>
      </c>
      <c r="AW8" s="100"/>
      <c r="AY8" s="9" t="s">
        <v>12</v>
      </c>
      <c r="AZ8" s="10" t="s">
        <v>13</v>
      </c>
      <c r="BA8" s="11">
        <v>2231000</v>
      </c>
      <c r="BB8" s="12">
        <v>423890</v>
      </c>
      <c r="BC8" s="99">
        <v>2654890</v>
      </c>
      <c r="BD8" s="100"/>
      <c r="BF8" s="9" t="s">
        <v>12</v>
      </c>
      <c r="BG8" s="10" t="s">
        <v>13</v>
      </c>
      <c r="BH8" s="11">
        <v>3800000</v>
      </c>
      <c r="BI8" s="12">
        <v>0</v>
      </c>
      <c r="BJ8" s="99">
        <f>BH8+BI8</f>
        <v>3800000</v>
      </c>
      <c r="BK8" s="100"/>
      <c r="BM8" s="54" t="s">
        <v>12</v>
      </c>
      <c r="BN8" s="55" t="s">
        <v>13</v>
      </c>
      <c r="BO8" s="56">
        <v>3000000</v>
      </c>
      <c r="BP8" s="57">
        <v>0</v>
      </c>
      <c r="BQ8" s="93">
        <f t="shared" ref="BQ8:BQ11" si="0">BO8+BP8</f>
        <v>3000000</v>
      </c>
      <c r="BR8" s="94"/>
      <c r="BT8" s="9" t="s">
        <v>12</v>
      </c>
      <c r="BU8" s="10" t="s">
        <v>13</v>
      </c>
      <c r="BV8" s="11">
        <v>2500000</v>
      </c>
      <c r="BW8" s="12">
        <v>0</v>
      </c>
      <c r="BX8" s="99">
        <f>BV8+BW8</f>
        <v>2500000</v>
      </c>
      <c r="BY8" s="100"/>
      <c r="CA8" s="9" t="s">
        <v>12</v>
      </c>
      <c r="CB8" s="10" t="s">
        <v>13</v>
      </c>
      <c r="CC8" s="11">
        <f>1840333.33333333*5/3</f>
        <v>3067222.2222222164</v>
      </c>
      <c r="CD8" s="12">
        <f>CC8*0.19</f>
        <v>582772.22222222108</v>
      </c>
      <c r="CE8" s="99">
        <f>CC8+CD8</f>
        <v>3649994.4444444375</v>
      </c>
      <c r="CF8" s="100"/>
      <c r="CH8" s="70" t="s">
        <v>12</v>
      </c>
      <c r="CI8" s="71" t="s">
        <v>13</v>
      </c>
      <c r="CJ8" s="72">
        <f>+MAX(F8,M8,T8,AA8,AH8,AO8,AV8,BC8,BJ8,BQ8,BX8,CE8)</f>
        <v>8400000</v>
      </c>
      <c r="CK8" s="72">
        <f>+MIN(F8,M8,T8,AA8,AH8,AO8,AV8,BC8,BJ8,BQ8,BX8,CE8)</f>
        <v>1290000</v>
      </c>
      <c r="CL8" s="72">
        <f>+AVERAGE(F8,M8,T8,AA8,AH8,AO8,AV8,BC8,BJ8,BQ8,BX8,CE8)</f>
        <v>3242772.4828907554</v>
      </c>
      <c r="CM8" s="72">
        <f>+TRIMMEAN((F8,M8,T8,AA8,AH8,AO8,AV8,BC8,BJ8,BQ8,BX8,CE8),(2/12))</f>
        <v>2922326.9794689063</v>
      </c>
      <c r="CN8" s="72">
        <f>+MEDIAN(F8,M8,T8,AA8,AH8,AO8,AV8,BC8,BJ8,BQ8,BX8,CE8)</f>
        <v>2802445</v>
      </c>
      <c r="CO8" s="86" t="str">
        <f>IFERROR(MODE(F8,M8,T8,AA8,AH8,AO8,AV8,BC8,BJ8,BQ8,BX8,CE8),"N/A")</f>
        <v>N/A</v>
      </c>
      <c r="CP8" s="89">
        <f>+STDEV(F8,M8,T8,AA8,AH8,AO8,AV8,BC8,BJ8,BQ8,BX8,CE8)/CL8</f>
        <v>0.56043884752355544</v>
      </c>
      <c r="CQ8" t="s">
        <v>176</v>
      </c>
      <c r="CR8" t="s">
        <v>165</v>
      </c>
    </row>
    <row r="9" spans="1:96" x14ac:dyDescent="0.2">
      <c r="A9" s="126"/>
      <c r="B9" s="9" t="s">
        <v>14</v>
      </c>
      <c r="C9" s="13" t="s">
        <v>15</v>
      </c>
      <c r="D9" s="11">
        <v>3300000</v>
      </c>
      <c r="E9" s="12">
        <f t="shared" ref="E9:E11" si="1">(D9*19)/100</f>
        <v>627000</v>
      </c>
      <c r="F9" s="99">
        <f t="shared" ref="F9:F11" si="2">D9+E9</f>
        <v>3927000</v>
      </c>
      <c r="G9" s="100"/>
      <c r="I9" s="9" t="s">
        <v>14</v>
      </c>
      <c r="J9" s="13" t="s">
        <v>15</v>
      </c>
      <c r="K9" s="11">
        <v>2750000</v>
      </c>
      <c r="L9" s="12">
        <v>0</v>
      </c>
      <c r="M9" s="114">
        <f t="shared" ref="M9:M11" si="3">+K9+L9</f>
        <v>2750000</v>
      </c>
      <c r="N9" s="115"/>
      <c r="P9" s="9" t="s">
        <v>14</v>
      </c>
      <c r="Q9" s="13" t="s">
        <v>15</v>
      </c>
      <c r="R9" s="11">
        <f>2280000</f>
        <v>2280000</v>
      </c>
      <c r="S9" s="12">
        <v>0</v>
      </c>
      <c r="T9" s="114">
        <f t="shared" ref="T9:T11" si="4">R9+S9</f>
        <v>2280000</v>
      </c>
      <c r="U9" s="115"/>
      <c r="W9" s="9" t="s">
        <v>14</v>
      </c>
      <c r="X9" s="13" t="s">
        <v>15</v>
      </c>
      <c r="Y9" s="11">
        <v>466000000</v>
      </c>
      <c r="Z9" s="12">
        <v>0</v>
      </c>
      <c r="AA9" s="114">
        <f>+Y9/400</f>
        <v>1165000</v>
      </c>
      <c r="AB9" s="115"/>
      <c r="AD9" s="9" t="s">
        <v>14</v>
      </c>
      <c r="AE9" s="13" t="s">
        <v>15</v>
      </c>
      <c r="AF9" s="11">
        <v>1964103.2845535551</v>
      </c>
      <c r="AG9" s="12">
        <v>0</v>
      </c>
      <c r="AH9" s="114">
        <f t="shared" ref="AH9:AH11" si="5">AF9+AG9</f>
        <v>1964103.2845535551</v>
      </c>
      <c r="AI9" s="115"/>
      <c r="AK9" s="9" t="s">
        <v>14</v>
      </c>
      <c r="AL9" s="13" t="s">
        <v>15</v>
      </c>
      <c r="AM9" s="11">
        <v>7725000</v>
      </c>
      <c r="AN9" s="12">
        <v>0</v>
      </c>
      <c r="AO9" s="99">
        <f t="shared" ref="AO9:AO11" si="6">AM9+AN9</f>
        <v>7725000</v>
      </c>
      <c r="AP9" s="100"/>
      <c r="AR9" s="9" t="s">
        <v>14</v>
      </c>
      <c r="AS9" s="13" t="s">
        <v>15</v>
      </c>
      <c r="AT9" s="11">
        <v>1728000</v>
      </c>
      <c r="AU9" s="12">
        <v>0</v>
      </c>
      <c r="AV9" s="99">
        <f t="shared" ref="AV9:AV11" si="7">AT9+AU9</f>
        <v>1728000</v>
      </c>
      <c r="AW9" s="100"/>
      <c r="AY9" s="9" t="s">
        <v>14</v>
      </c>
      <c r="AZ9" s="13" t="s">
        <v>15</v>
      </c>
      <c r="BA9" s="11">
        <v>2136000</v>
      </c>
      <c r="BB9" s="12">
        <v>405840</v>
      </c>
      <c r="BC9" s="99">
        <v>2541840</v>
      </c>
      <c r="BD9" s="100"/>
      <c r="BF9" s="9" t="s">
        <v>14</v>
      </c>
      <c r="BG9" s="13" t="s">
        <v>15</v>
      </c>
      <c r="BH9" s="11">
        <v>3300000</v>
      </c>
      <c r="BI9" s="12">
        <v>0</v>
      </c>
      <c r="BJ9" s="99">
        <f>BH9+BI9</f>
        <v>3300000</v>
      </c>
      <c r="BK9" s="100"/>
      <c r="BM9" s="54" t="s">
        <v>14</v>
      </c>
      <c r="BN9" s="58" t="s">
        <v>15</v>
      </c>
      <c r="BO9" s="56">
        <v>3000000</v>
      </c>
      <c r="BP9" s="57">
        <v>0</v>
      </c>
      <c r="BQ9" s="93">
        <f t="shared" si="0"/>
        <v>3000000</v>
      </c>
      <c r="BR9" s="94"/>
      <c r="BT9" s="9" t="s">
        <v>14</v>
      </c>
      <c r="BU9" s="13" t="s">
        <v>15</v>
      </c>
      <c r="BV9" s="11">
        <v>2200000</v>
      </c>
      <c r="BW9" s="12">
        <v>0</v>
      </c>
      <c r="BX9" s="99">
        <f t="shared" ref="BX9:BX11" si="8">BV9+BW9</f>
        <v>2200000</v>
      </c>
      <c r="BY9" s="100"/>
      <c r="CA9" s="9" t="s">
        <v>14</v>
      </c>
      <c r="CB9" s="13" t="s">
        <v>15</v>
      </c>
      <c r="CC9" s="11">
        <f>CC8</f>
        <v>3067222.2222222164</v>
      </c>
      <c r="CD9" s="12">
        <f>CC9*0.19</f>
        <v>582772.22222222108</v>
      </c>
      <c r="CE9" s="99">
        <f t="shared" ref="CE9:CE11" si="9">CC9+CD9</f>
        <v>3649994.4444444375</v>
      </c>
      <c r="CF9" s="100"/>
      <c r="CH9" s="70" t="s">
        <v>14</v>
      </c>
      <c r="CI9" s="71" t="s">
        <v>15</v>
      </c>
      <c r="CJ9" s="72">
        <f t="shared" ref="CJ9:CJ11" si="10">+MAX(F9,M9,T9,AA9,AH9,AO9,AV9,BC9,BJ9,BQ9,BX9,CE9)</f>
        <v>7725000</v>
      </c>
      <c r="CK9" s="72">
        <f t="shared" ref="CK9:CK11" si="11">+MIN(F9,M9,T9,AA9,AH9,AO9,AV9,BC9,BJ9,BQ9,BX9,CE9)</f>
        <v>1165000</v>
      </c>
      <c r="CL9" s="72">
        <f t="shared" ref="CL9:CL11" si="12">+AVERAGE(F9,M9,T9,AA9,AH9,AO9,AV9,BC9,BJ9,BQ9,BX9,CE9)</f>
        <v>3019244.810749833</v>
      </c>
      <c r="CM9" s="72">
        <f>+TRIMMEAN((F9,M9,T9,AA9,AH9,AO9,AV9,BC9,BJ9,BQ9,BX9,CE9),(2/12))</f>
        <v>2734093.7728997995</v>
      </c>
      <c r="CN9" s="72">
        <f t="shared" ref="CN9:CN11" si="13">+MEDIAN(F9,M9,T9,AA9,AH9,AO9,AV9,BC9,BJ9,BQ9,BX9,CE9)</f>
        <v>2645920</v>
      </c>
      <c r="CO9" s="86" t="str">
        <f t="shared" ref="CO9:CO11" si="14">IFERROR(MODE(F9,M9,T9,AA9,AH9,AO9,AV9,BC9,BJ9,BQ9,BX9,CE9),"N/A")</f>
        <v>N/A</v>
      </c>
      <c r="CP9" s="89">
        <f>+STDEV(F9,M9,T9,AA9,AH9,AO9,AV9,BC9,BJ9,BQ9,BX9,CE9)/CL9</f>
        <v>0.55764528798631574</v>
      </c>
      <c r="CQ9" t="s">
        <v>176</v>
      </c>
      <c r="CR9" t="s">
        <v>165</v>
      </c>
    </row>
    <row r="10" spans="1:96" ht="17" customHeight="1" x14ac:dyDescent="0.2">
      <c r="A10" s="126"/>
      <c r="B10" s="9" t="s">
        <v>16</v>
      </c>
      <c r="C10" s="13" t="s">
        <v>17</v>
      </c>
      <c r="D10" s="11">
        <v>3200000</v>
      </c>
      <c r="E10" s="12">
        <f t="shared" si="1"/>
        <v>608000</v>
      </c>
      <c r="F10" s="99">
        <f t="shared" si="2"/>
        <v>3808000</v>
      </c>
      <c r="G10" s="100"/>
      <c r="I10" s="9" t="s">
        <v>16</v>
      </c>
      <c r="J10" s="13" t="s">
        <v>17</v>
      </c>
      <c r="K10" s="11">
        <v>2590000</v>
      </c>
      <c r="L10" s="12">
        <v>0</v>
      </c>
      <c r="M10" s="114">
        <f t="shared" si="3"/>
        <v>2590000</v>
      </c>
      <c r="N10" s="115"/>
      <c r="P10" s="9" t="s">
        <v>16</v>
      </c>
      <c r="Q10" s="13" t="s">
        <v>17</v>
      </c>
      <c r="R10" s="11">
        <f>2166000</f>
        <v>2166000</v>
      </c>
      <c r="S10" s="12">
        <v>0</v>
      </c>
      <c r="T10" s="114">
        <f t="shared" si="4"/>
        <v>2166000</v>
      </c>
      <c r="U10" s="115"/>
      <c r="W10" s="9" t="s">
        <v>16</v>
      </c>
      <c r="X10" s="13" t="s">
        <v>17</v>
      </c>
      <c r="Y10" s="11">
        <v>575000000</v>
      </c>
      <c r="Z10" s="12">
        <v>0</v>
      </c>
      <c r="AA10" s="114">
        <f>+Y10/500</f>
        <v>1150000</v>
      </c>
      <c r="AB10" s="115"/>
      <c r="AD10" s="9" t="s">
        <v>16</v>
      </c>
      <c r="AE10" s="13" t="s">
        <v>17</v>
      </c>
      <c r="AF10" s="11">
        <v>1945034.3206258507</v>
      </c>
      <c r="AG10" s="12">
        <v>0</v>
      </c>
      <c r="AH10" s="114">
        <f t="shared" si="5"/>
        <v>1945034.3206258507</v>
      </c>
      <c r="AI10" s="115"/>
      <c r="AK10" s="9" t="s">
        <v>16</v>
      </c>
      <c r="AL10" s="13" t="s">
        <v>17</v>
      </c>
      <c r="AM10" s="11">
        <v>7350000</v>
      </c>
      <c r="AN10" s="12">
        <v>0</v>
      </c>
      <c r="AO10" s="99">
        <f t="shared" si="6"/>
        <v>7350000</v>
      </c>
      <c r="AP10" s="100"/>
      <c r="AR10" s="9" t="s">
        <v>16</v>
      </c>
      <c r="AS10" s="13" t="s">
        <v>17</v>
      </c>
      <c r="AT10" s="11">
        <v>1400000</v>
      </c>
      <c r="AU10" s="12">
        <v>0</v>
      </c>
      <c r="AV10" s="99">
        <f t="shared" si="7"/>
        <v>1400000</v>
      </c>
      <c r="AW10" s="100"/>
      <c r="AY10" s="9" t="s">
        <v>16</v>
      </c>
      <c r="AZ10" s="13" t="s">
        <v>17</v>
      </c>
      <c r="BA10" s="11">
        <v>2127000</v>
      </c>
      <c r="BB10" s="12">
        <v>404130</v>
      </c>
      <c r="BC10" s="99">
        <v>2531130</v>
      </c>
      <c r="BD10" s="100"/>
      <c r="BF10" s="9" t="s">
        <v>16</v>
      </c>
      <c r="BG10" s="13" t="s">
        <v>17</v>
      </c>
      <c r="BH10" s="11">
        <v>3100000</v>
      </c>
      <c r="BI10" s="12">
        <v>0</v>
      </c>
      <c r="BJ10" s="99">
        <f>BH10+BI10</f>
        <v>3100000</v>
      </c>
      <c r="BK10" s="100"/>
      <c r="BM10" s="54" t="s">
        <v>16</v>
      </c>
      <c r="BN10" s="58" t="s">
        <v>17</v>
      </c>
      <c r="BO10" s="56">
        <v>3000000</v>
      </c>
      <c r="BP10" s="57">
        <v>0</v>
      </c>
      <c r="BQ10" s="93">
        <f t="shared" si="0"/>
        <v>3000000</v>
      </c>
      <c r="BR10" s="94"/>
      <c r="BT10" s="9" t="s">
        <v>16</v>
      </c>
      <c r="BU10" s="13" t="s">
        <v>17</v>
      </c>
      <c r="BV10" s="11">
        <v>2000000</v>
      </c>
      <c r="BW10" s="12">
        <v>0</v>
      </c>
      <c r="BX10" s="99">
        <f t="shared" si="8"/>
        <v>2000000</v>
      </c>
      <c r="BY10" s="100"/>
      <c r="CA10" s="9" t="s">
        <v>16</v>
      </c>
      <c r="CB10" s="13" t="s">
        <v>17</v>
      </c>
      <c r="CC10" s="11">
        <f>CC9</f>
        <v>3067222.2222222164</v>
      </c>
      <c r="CD10" s="12">
        <f>CC10*0.19</f>
        <v>582772.22222222108</v>
      </c>
      <c r="CE10" s="99">
        <f t="shared" si="9"/>
        <v>3649994.4444444375</v>
      </c>
      <c r="CF10" s="100"/>
      <c r="CH10" s="70" t="s">
        <v>16</v>
      </c>
      <c r="CI10" s="71" t="s">
        <v>17</v>
      </c>
      <c r="CJ10" s="72">
        <f t="shared" si="10"/>
        <v>7350000</v>
      </c>
      <c r="CK10" s="72">
        <f t="shared" si="11"/>
        <v>1150000</v>
      </c>
      <c r="CL10" s="72">
        <f t="shared" si="12"/>
        <v>2890846.5637558573</v>
      </c>
      <c r="CM10" s="72">
        <f>+TRIMMEAN((F10,M10,T10,AA10,AH10,AO10,AV10,BC10,BJ10,BQ10,BX10,CE10),(2/12))</f>
        <v>2619015.8765070285</v>
      </c>
      <c r="CN10" s="72">
        <f t="shared" si="13"/>
        <v>2560565</v>
      </c>
      <c r="CO10" s="86" t="str">
        <f t="shared" si="14"/>
        <v>N/A</v>
      </c>
      <c r="CP10" s="89">
        <f>+STDEV(F10,M10,T10,AA10,AH10,AO10,AV10,BC10,BJ10,BQ10,BX10,CE10)/CL10</f>
        <v>0.56208961927916978</v>
      </c>
      <c r="CQ10" t="s">
        <v>176</v>
      </c>
      <c r="CR10" t="s">
        <v>165</v>
      </c>
    </row>
    <row r="11" spans="1:96" ht="17" customHeight="1" thickBot="1" x14ac:dyDescent="0.25">
      <c r="A11" s="127"/>
      <c r="B11" s="9" t="s">
        <v>18</v>
      </c>
      <c r="C11" s="14" t="s">
        <v>19</v>
      </c>
      <c r="D11" s="11">
        <v>2895000</v>
      </c>
      <c r="E11" s="12">
        <f t="shared" si="1"/>
        <v>550050</v>
      </c>
      <c r="F11" s="99">
        <f t="shared" si="2"/>
        <v>3445050</v>
      </c>
      <c r="G11" s="100"/>
      <c r="I11" s="9" t="s">
        <v>18</v>
      </c>
      <c r="J11" s="14" t="s">
        <v>158</v>
      </c>
      <c r="K11" s="11">
        <v>2500000</v>
      </c>
      <c r="L11" s="12">
        <v>0</v>
      </c>
      <c r="M11" s="114">
        <f t="shared" si="3"/>
        <v>2500000</v>
      </c>
      <c r="N11" s="115"/>
      <c r="P11" s="9" t="s">
        <v>18</v>
      </c>
      <c r="Q11" s="14" t="s">
        <v>19</v>
      </c>
      <c r="R11" s="11">
        <f>2057000</f>
        <v>2057000</v>
      </c>
      <c r="S11" s="12">
        <v>0</v>
      </c>
      <c r="T11" s="114">
        <f t="shared" si="4"/>
        <v>2057000</v>
      </c>
      <c r="U11" s="115"/>
      <c r="W11" s="9" t="s">
        <v>18</v>
      </c>
      <c r="X11" s="14" t="s">
        <v>19</v>
      </c>
      <c r="Y11" s="11">
        <v>575000000</v>
      </c>
      <c r="Z11" s="12">
        <v>0</v>
      </c>
      <c r="AA11" s="114">
        <f>+Y11/500</f>
        <v>1150000</v>
      </c>
      <c r="AB11" s="115"/>
      <c r="AD11" s="9" t="s">
        <v>18</v>
      </c>
      <c r="AE11" s="14" t="s">
        <v>19</v>
      </c>
      <c r="AF11" s="11">
        <v>1926332.0675429096</v>
      </c>
      <c r="AG11" s="12">
        <v>0</v>
      </c>
      <c r="AH11" s="114">
        <f t="shared" si="5"/>
        <v>1926332.0675429096</v>
      </c>
      <c r="AI11" s="115"/>
      <c r="AK11" s="9" t="s">
        <v>18</v>
      </c>
      <c r="AL11" s="14" t="s">
        <v>179</v>
      </c>
      <c r="AM11" s="11">
        <v>6790000</v>
      </c>
      <c r="AN11" s="12">
        <v>0</v>
      </c>
      <c r="AO11" s="99">
        <f t="shared" si="6"/>
        <v>6790000</v>
      </c>
      <c r="AP11" s="100"/>
      <c r="AR11" s="9" t="s">
        <v>18</v>
      </c>
      <c r="AS11" s="14" t="s">
        <v>19</v>
      </c>
      <c r="AT11" s="11">
        <v>1200000</v>
      </c>
      <c r="AU11" s="12">
        <v>0</v>
      </c>
      <c r="AV11" s="99">
        <f t="shared" si="7"/>
        <v>1200000</v>
      </c>
      <c r="AW11" s="100"/>
      <c r="AY11" s="9" t="s">
        <v>18</v>
      </c>
      <c r="AZ11" s="14" t="s">
        <v>19</v>
      </c>
      <c r="BA11" s="11">
        <v>2115000</v>
      </c>
      <c r="BB11" s="12">
        <v>401850</v>
      </c>
      <c r="BC11" s="99">
        <v>2516850</v>
      </c>
      <c r="BD11" s="100"/>
      <c r="BF11" s="9" t="s">
        <v>18</v>
      </c>
      <c r="BG11" s="14" t="s">
        <v>19</v>
      </c>
      <c r="BH11" s="11">
        <v>3000000</v>
      </c>
      <c r="BI11" s="12">
        <v>0</v>
      </c>
      <c r="BJ11" s="99">
        <f>BH11+BI11</f>
        <v>3000000</v>
      </c>
      <c r="BK11" s="100"/>
      <c r="BM11" s="54" t="s">
        <v>18</v>
      </c>
      <c r="BN11" s="59" t="s">
        <v>19</v>
      </c>
      <c r="BO11" s="56">
        <v>3000000</v>
      </c>
      <c r="BP11" s="57">
        <v>0</v>
      </c>
      <c r="BQ11" s="93">
        <f t="shared" si="0"/>
        <v>3000000</v>
      </c>
      <c r="BR11" s="94"/>
      <c r="BT11" s="9" t="s">
        <v>18</v>
      </c>
      <c r="BU11" s="14" t="s">
        <v>19</v>
      </c>
      <c r="BV11" s="11">
        <v>2000000</v>
      </c>
      <c r="BW11" s="12">
        <v>0</v>
      </c>
      <c r="BX11" s="99">
        <f t="shared" si="8"/>
        <v>2000000</v>
      </c>
      <c r="BY11" s="100"/>
      <c r="CA11" s="9" t="s">
        <v>18</v>
      </c>
      <c r="CB11" s="14" t="s">
        <v>19</v>
      </c>
      <c r="CC11" s="11">
        <f>1201333.33333333*5/3</f>
        <v>2002222.2222222167</v>
      </c>
      <c r="CD11" s="12">
        <f>CC11*0.19</f>
        <v>380422.22222222114</v>
      </c>
      <c r="CE11" s="99">
        <f t="shared" si="9"/>
        <v>2382644.444444438</v>
      </c>
      <c r="CF11" s="100"/>
      <c r="CH11" s="70" t="s">
        <v>18</v>
      </c>
      <c r="CI11" s="71" t="s">
        <v>19</v>
      </c>
      <c r="CJ11" s="72">
        <f t="shared" si="10"/>
        <v>6790000</v>
      </c>
      <c r="CK11" s="72">
        <f t="shared" si="11"/>
        <v>1150000</v>
      </c>
      <c r="CL11" s="72">
        <f t="shared" si="12"/>
        <v>2663989.7093322789</v>
      </c>
      <c r="CM11" s="72">
        <f>+TRIMMEAN((F11,M11,T11,AA11,AH11,AO11,AV11,BC11,BJ11,BQ11,BX11,CE11),(2/12))</f>
        <v>2402787.6511987345</v>
      </c>
      <c r="CN11" s="72">
        <f t="shared" si="13"/>
        <v>2441322.2222222192</v>
      </c>
      <c r="CO11" s="86">
        <f t="shared" si="14"/>
        <v>3000000</v>
      </c>
      <c r="CP11" s="89">
        <f>+STDEV(F11,M11,T11,AA11,AH11,AO11,AV11,BC11,BJ11,BQ11,BX11,CE11)/CL11</f>
        <v>0.55187946958</v>
      </c>
      <c r="CQ11" t="s">
        <v>176</v>
      </c>
      <c r="CR11" t="s">
        <v>165</v>
      </c>
    </row>
    <row r="12" spans="1:96" ht="31" customHeight="1" thickBot="1" x14ac:dyDescent="0.25">
      <c r="A12" s="1" t="s">
        <v>1</v>
      </c>
      <c r="B12" s="103" t="s">
        <v>2</v>
      </c>
      <c r="C12" s="104"/>
      <c r="D12" s="104"/>
      <c r="E12" s="105"/>
      <c r="F12" s="18" t="s">
        <v>3</v>
      </c>
      <c r="G12" s="19" t="s">
        <v>20</v>
      </c>
      <c r="I12" s="15" t="s">
        <v>2</v>
      </c>
      <c r="J12" s="16"/>
      <c r="K12" s="16"/>
      <c r="L12" s="17"/>
      <c r="M12" s="18" t="s">
        <v>3</v>
      </c>
      <c r="N12" s="19" t="s">
        <v>20</v>
      </c>
      <c r="P12" s="103" t="s">
        <v>2</v>
      </c>
      <c r="Q12" s="104"/>
      <c r="R12" s="104"/>
      <c r="S12" s="105"/>
      <c r="T12" s="18" t="s">
        <v>3</v>
      </c>
      <c r="U12" s="19" t="s">
        <v>20</v>
      </c>
      <c r="W12" s="15" t="s">
        <v>2</v>
      </c>
      <c r="X12" s="16"/>
      <c r="Y12" s="16"/>
      <c r="Z12" s="17"/>
      <c r="AA12" s="18" t="s">
        <v>3</v>
      </c>
      <c r="AB12" s="19" t="s">
        <v>20</v>
      </c>
      <c r="AD12" s="103" t="s">
        <v>2</v>
      </c>
      <c r="AE12" s="104"/>
      <c r="AF12" s="104"/>
      <c r="AG12" s="105"/>
      <c r="AH12" s="18" t="s">
        <v>3</v>
      </c>
      <c r="AI12" s="19" t="s">
        <v>20</v>
      </c>
      <c r="AK12" s="103" t="s">
        <v>2</v>
      </c>
      <c r="AL12" s="104"/>
      <c r="AM12" s="104"/>
      <c r="AN12" s="105"/>
      <c r="AO12" s="18" t="s">
        <v>3</v>
      </c>
      <c r="AP12" s="19" t="s">
        <v>20</v>
      </c>
      <c r="AR12" s="103" t="s">
        <v>2</v>
      </c>
      <c r="AS12" s="104"/>
      <c r="AT12" s="104"/>
      <c r="AU12" s="105"/>
      <c r="AV12" s="18" t="s">
        <v>3</v>
      </c>
      <c r="AW12" s="19" t="s">
        <v>20</v>
      </c>
      <c r="AY12" s="103" t="s">
        <v>2</v>
      </c>
      <c r="AZ12" s="104"/>
      <c r="BA12" s="104"/>
      <c r="BB12" s="105"/>
      <c r="BC12" s="18" t="s">
        <v>3</v>
      </c>
      <c r="BD12" s="19" t="s">
        <v>20</v>
      </c>
      <c r="BF12" s="103" t="s">
        <v>2</v>
      </c>
      <c r="BG12" s="104"/>
      <c r="BH12" s="104"/>
      <c r="BI12" s="105"/>
      <c r="BJ12" s="18" t="s">
        <v>3</v>
      </c>
      <c r="BK12" s="19" t="s">
        <v>20</v>
      </c>
      <c r="BM12" s="95" t="s">
        <v>2</v>
      </c>
      <c r="BN12" s="96"/>
      <c r="BO12" s="96"/>
      <c r="BP12" s="97"/>
      <c r="BQ12" s="60" t="s">
        <v>3</v>
      </c>
      <c r="BR12" s="61" t="s">
        <v>20</v>
      </c>
      <c r="BT12" s="103" t="s">
        <v>2</v>
      </c>
      <c r="BU12" s="104"/>
      <c r="BV12" s="104"/>
      <c r="BW12" s="105"/>
      <c r="BX12" s="18" t="s">
        <v>3</v>
      </c>
      <c r="BY12" s="19" t="s">
        <v>20</v>
      </c>
      <c r="CA12" s="103" t="s">
        <v>2</v>
      </c>
      <c r="CB12" s="104"/>
      <c r="CC12" s="104"/>
      <c r="CD12" s="105"/>
      <c r="CE12" s="18" t="s">
        <v>3</v>
      </c>
      <c r="CF12" s="19" t="s">
        <v>20</v>
      </c>
    </row>
    <row r="13" spans="1:96" ht="46" thickBot="1" x14ac:dyDescent="0.25">
      <c r="A13" s="3" t="s">
        <v>5</v>
      </c>
      <c r="B13" s="20" t="s">
        <v>6</v>
      </c>
      <c r="C13" s="20" t="s">
        <v>7</v>
      </c>
      <c r="D13" s="20" t="s">
        <v>8</v>
      </c>
      <c r="E13" s="21" t="s">
        <v>9</v>
      </c>
      <c r="F13" s="106" t="s">
        <v>21</v>
      </c>
      <c r="G13" s="107"/>
      <c r="I13" s="20" t="s">
        <v>6</v>
      </c>
      <c r="J13" s="20" t="s">
        <v>7</v>
      </c>
      <c r="K13" s="20" t="s">
        <v>8</v>
      </c>
      <c r="L13" s="21" t="s">
        <v>9</v>
      </c>
      <c r="M13" s="22" t="s">
        <v>21</v>
      </c>
      <c r="N13" s="23"/>
      <c r="P13" s="20" t="s">
        <v>6</v>
      </c>
      <c r="Q13" s="20" t="s">
        <v>7</v>
      </c>
      <c r="R13" s="20" t="s">
        <v>8</v>
      </c>
      <c r="S13" s="21" t="s">
        <v>9</v>
      </c>
      <c r="T13" s="106" t="s">
        <v>21</v>
      </c>
      <c r="U13" s="107"/>
      <c r="W13" s="20" t="s">
        <v>6</v>
      </c>
      <c r="X13" s="20" t="s">
        <v>7</v>
      </c>
      <c r="Y13" s="20" t="s">
        <v>8</v>
      </c>
      <c r="Z13" s="21" t="s">
        <v>9</v>
      </c>
      <c r="AA13" s="22" t="s">
        <v>21</v>
      </c>
      <c r="AB13" s="23"/>
      <c r="AD13" s="20" t="s">
        <v>6</v>
      </c>
      <c r="AE13" s="20" t="s">
        <v>7</v>
      </c>
      <c r="AF13" s="20" t="s">
        <v>8</v>
      </c>
      <c r="AG13" s="21" t="s">
        <v>9</v>
      </c>
      <c r="AH13" s="106" t="s">
        <v>21</v>
      </c>
      <c r="AI13" s="107"/>
      <c r="AK13" s="20" t="s">
        <v>6</v>
      </c>
      <c r="AL13" s="20" t="s">
        <v>7</v>
      </c>
      <c r="AM13" s="20" t="s">
        <v>8</v>
      </c>
      <c r="AN13" s="21" t="s">
        <v>9</v>
      </c>
      <c r="AO13" s="106" t="s">
        <v>21</v>
      </c>
      <c r="AP13" s="107"/>
      <c r="AR13" s="20" t="s">
        <v>6</v>
      </c>
      <c r="AS13" s="20" t="s">
        <v>7</v>
      </c>
      <c r="AT13" s="20" t="s">
        <v>8</v>
      </c>
      <c r="AU13" s="21" t="s">
        <v>9</v>
      </c>
      <c r="AV13" s="106" t="s">
        <v>21</v>
      </c>
      <c r="AW13" s="107"/>
      <c r="AY13" s="20" t="s">
        <v>6</v>
      </c>
      <c r="AZ13" s="20" t="s">
        <v>7</v>
      </c>
      <c r="BA13" s="20" t="s">
        <v>8</v>
      </c>
      <c r="BB13" s="21" t="s">
        <v>9</v>
      </c>
      <c r="BC13" s="106" t="s">
        <v>21</v>
      </c>
      <c r="BD13" s="107"/>
      <c r="BF13" s="20" t="s">
        <v>6</v>
      </c>
      <c r="BG13" s="20" t="s">
        <v>7</v>
      </c>
      <c r="BH13" s="20" t="s">
        <v>8</v>
      </c>
      <c r="BI13" s="21" t="s">
        <v>9</v>
      </c>
      <c r="BJ13" s="106" t="s">
        <v>21</v>
      </c>
      <c r="BK13" s="107"/>
      <c r="BM13" s="52" t="s">
        <v>6</v>
      </c>
      <c r="BN13" s="52" t="s">
        <v>7</v>
      </c>
      <c r="BO13" s="52" t="s">
        <v>8</v>
      </c>
      <c r="BP13" s="53" t="s">
        <v>9</v>
      </c>
      <c r="BQ13" s="98" t="s">
        <v>21</v>
      </c>
      <c r="BR13" s="97"/>
      <c r="BT13" s="20" t="s">
        <v>6</v>
      </c>
      <c r="BU13" s="20" t="s">
        <v>7</v>
      </c>
      <c r="BV13" s="20" t="s">
        <v>8</v>
      </c>
      <c r="BW13" s="21" t="s">
        <v>9</v>
      </c>
      <c r="BX13" s="106" t="s">
        <v>21</v>
      </c>
      <c r="BY13" s="107"/>
      <c r="CA13" s="20" t="s">
        <v>6</v>
      </c>
      <c r="CB13" s="20" t="s">
        <v>7</v>
      </c>
      <c r="CC13" s="20" t="s">
        <v>8</v>
      </c>
      <c r="CD13" s="21" t="s">
        <v>9</v>
      </c>
      <c r="CE13" s="106" t="s">
        <v>21</v>
      </c>
      <c r="CF13" s="107"/>
      <c r="CH13" s="68" t="s">
        <v>6</v>
      </c>
      <c r="CI13" s="68" t="s">
        <v>7</v>
      </c>
      <c r="CJ13" s="69" t="s">
        <v>268</v>
      </c>
      <c r="CK13" s="69" t="s">
        <v>269</v>
      </c>
      <c r="CL13" s="69" t="s">
        <v>270</v>
      </c>
      <c r="CM13" s="76" t="s">
        <v>273</v>
      </c>
      <c r="CN13" s="69" t="s">
        <v>271</v>
      </c>
      <c r="CO13" s="69" t="s">
        <v>272</v>
      </c>
      <c r="CQ13" s="92" t="s">
        <v>291</v>
      </c>
      <c r="CR13" s="92" t="s">
        <v>292</v>
      </c>
    </row>
    <row r="14" spans="1:96" x14ac:dyDescent="0.2">
      <c r="A14" s="125" t="s">
        <v>11</v>
      </c>
      <c r="B14" s="9" t="s">
        <v>22</v>
      </c>
      <c r="C14" s="10" t="s">
        <v>13</v>
      </c>
      <c r="D14" s="11">
        <v>3500000</v>
      </c>
      <c r="E14" s="12">
        <f>(D14*19)/100</f>
        <v>665000</v>
      </c>
      <c r="F14" s="99">
        <f t="shared" ref="F14:F17" si="15">D14+E14</f>
        <v>4165000</v>
      </c>
      <c r="G14" s="100"/>
      <c r="I14" s="9" t="s">
        <v>22</v>
      </c>
      <c r="J14" s="10" t="s">
        <v>13</v>
      </c>
      <c r="K14" s="11">
        <v>2950000</v>
      </c>
      <c r="L14" s="12">
        <v>0</v>
      </c>
      <c r="M14" s="114">
        <f>+K14+L14</f>
        <v>2950000</v>
      </c>
      <c r="N14" s="115"/>
      <c r="P14" s="9" t="s">
        <v>22</v>
      </c>
      <c r="Q14" s="10" t="s">
        <v>13</v>
      </c>
      <c r="R14" s="11">
        <v>2400000</v>
      </c>
      <c r="S14" s="12">
        <v>0</v>
      </c>
      <c r="T14" s="114">
        <f t="shared" ref="T14:T17" si="16">R14+S14</f>
        <v>2400000</v>
      </c>
      <c r="U14" s="115"/>
      <c r="W14" s="9" t="s">
        <v>22</v>
      </c>
      <c r="X14" s="10" t="s">
        <v>13</v>
      </c>
      <c r="Y14" s="11">
        <v>387000000</v>
      </c>
      <c r="Z14" s="12">
        <v>0</v>
      </c>
      <c r="AA14" s="114">
        <f>+Y14/300</f>
        <v>1290000</v>
      </c>
      <c r="AB14" s="115"/>
      <c r="AD14" s="9" t="s">
        <v>22</v>
      </c>
      <c r="AE14" s="10" t="s">
        <v>13</v>
      </c>
      <c r="AF14" s="11">
        <v>2023419.2037470725</v>
      </c>
      <c r="AG14" s="12">
        <v>0</v>
      </c>
      <c r="AH14" s="114">
        <f t="shared" ref="AH14:AH17" si="17">AF14+AG14</f>
        <v>2023419.2037470725</v>
      </c>
      <c r="AI14" s="115"/>
      <c r="AK14" s="9" t="s">
        <v>22</v>
      </c>
      <c r="AL14" s="10" t="s">
        <v>13</v>
      </c>
      <c r="AM14" s="11">
        <v>8400000</v>
      </c>
      <c r="AN14" s="12">
        <v>0</v>
      </c>
      <c r="AO14" s="99">
        <f t="shared" ref="AO14:AO17" si="18">AM14+AN14</f>
        <v>8400000</v>
      </c>
      <c r="AP14" s="100"/>
      <c r="AR14" s="9" t="s">
        <v>22</v>
      </c>
      <c r="AS14" s="10" t="s">
        <v>13</v>
      </c>
      <c r="AT14" s="11">
        <v>2100000</v>
      </c>
      <c r="AU14" s="12">
        <v>0</v>
      </c>
      <c r="AV14" s="99">
        <f t="shared" ref="AV14:AV17" si="19">AT14+AU14</f>
        <v>2100000</v>
      </c>
      <c r="AW14" s="100"/>
      <c r="AY14" s="9" t="s">
        <v>22</v>
      </c>
      <c r="AZ14" s="10" t="s">
        <v>13</v>
      </c>
      <c r="BA14" s="11">
        <v>2677200</v>
      </c>
      <c r="BB14" s="12">
        <v>508668</v>
      </c>
      <c r="BC14" s="99">
        <v>3185868</v>
      </c>
      <c r="BD14" s="100"/>
      <c r="BF14" s="9" t="s">
        <v>22</v>
      </c>
      <c r="BG14" s="10" t="s">
        <v>13</v>
      </c>
      <c r="BH14" s="11">
        <v>3800000</v>
      </c>
      <c r="BI14" s="12">
        <v>0</v>
      </c>
      <c r="BJ14" s="112">
        <f>BH14+BI14</f>
        <v>3800000</v>
      </c>
      <c r="BK14" s="113"/>
      <c r="BM14" s="54" t="s">
        <v>22</v>
      </c>
      <c r="BN14" s="55" t="s">
        <v>13</v>
      </c>
      <c r="BO14" s="56">
        <v>3000000</v>
      </c>
      <c r="BP14" s="57">
        <v>0</v>
      </c>
      <c r="BQ14" s="93">
        <f t="shared" ref="BQ14:BQ17" si="20">BO14+BP14</f>
        <v>3000000</v>
      </c>
      <c r="BR14" s="94"/>
      <c r="BT14" s="9" t="s">
        <v>22</v>
      </c>
      <c r="BU14" s="10" t="s">
        <v>13</v>
      </c>
      <c r="BV14" s="11">
        <v>2500000</v>
      </c>
      <c r="BW14" s="12">
        <v>0</v>
      </c>
      <c r="BX14" s="99">
        <f t="shared" ref="BX14:BX17" si="21">BV14+BW14</f>
        <v>2500000</v>
      </c>
      <c r="BY14" s="100"/>
      <c r="CA14" s="9" t="s">
        <v>22</v>
      </c>
      <c r="CB14" s="10" t="s">
        <v>13</v>
      </c>
      <c r="CC14" s="11">
        <v>3067222.2222222164</v>
      </c>
      <c r="CD14" s="12">
        <f>CC14*0.19</f>
        <v>582772.22222222108</v>
      </c>
      <c r="CE14" s="99">
        <f>CC14+CD14</f>
        <v>3649994.4444444375</v>
      </c>
      <c r="CF14" s="100"/>
      <c r="CH14" s="70" t="s">
        <v>22</v>
      </c>
      <c r="CI14" s="71" t="s">
        <v>13</v>
      </c>
      <c r="CJ14" s="72">
        <f>+MAX(F14,M14,T14,AA14,AH14,AO14,AV14,BC14,BJ14,BQ14,BX14,CE14)</f>
        <v>8400000</v>
      </c>
      <c r="CK14" s="72">
        <f>+MIN(F14,M14,T14,AA14,AH14,AO14,AV14,BC14,BJ14,BQ14,BX14,CE14)</f>
        <v>1290000</v>
      </c>
      <c r="CL14" s="72">
        <f>+AVERAGE(F14,M14,T14,AA14,AH14,AO14,AV14,BC14,BJ14,BQ14,BX14,CE14)</f>
        <v>3288690.1373492926</v>
      </c>
      <c r="CM14" s="72">
        <f>+TRIMMEAN((F14,M14,T14,AA14,AH14,AO14,AV14,BC14,BJ14,BQ14,BX14,CE14),(2/12))</f>
        <v>2977428.1648191507</v>
      </c>
      <c r="CN14" s="72">
        <f>+MEDIAN(F14,M14,T14,AA14,AH14,AO14,AV14,BC14,BJ14,BQ14,BX14,CE14)</f>
        <v>2975000</v>
      </c>
      <c r="CO14" s="86" t="str">
        <f>IFERROR(MODE(F14,M14,T14,AA14,AH14,AO14,AV14,BC14,BJ14,BQ14,BX14,CE14),"N/A")</f>
        <v>N/A</v>
      </c>
      <c r="CP14" s="89">
        <f>+STDEV(F14,M14,T14,AA14,AH14,AO14,AV14,BC14,BJ14,BQ14,BX14,CE14)/CL14</f>
        <v>0.54943388158209427</v>
      </c>
      <c r="CQ14" t="s">
        <v>176</v>
      </c>
      <c r="CR14" t="s">
        <v>165</v>
      </c>
    </row>
    <row r="15" spans="1:96" x14ac:dyDescent="0.2">
      <c r="A15" s="126"/>
      <c r="B15" s="9" t="s">
        <v>23</v>
      </c>
      <c r="C15" s="13" t="s">
        <v>15</v>
      </c>
      <c r="D15" s="11">
        <v>3300000</v>
      </c>
      <c r="E15" s="12">
        <f t="shared" ref="E15:E17" si="22">(D15*19)/100</f>
        <v>627000</v>
      </c>
      <c r="F15" s="99">
        <f t="shared" si="15"/>
        <v>3927000</v>
      </c>
      <c r="G15" s="100"/>
      <c r="I15" s="9" t="s">
        <v>23</v>
      </c>
      <c r="J15" s="13" t="s">
        <v>15</v>
      </c>
      <c r="K15" s="11">
        <v>2750000</v>
      </c>
      <c r="L15" s="12">
        <v>0</v>
      </c>
      <c r="M15" s="114">
        <f t="shared" ref="M15:M17" si="23">+K15+L15</f>
        <v>2750000</v>
      </c>
      <c r="N15" s="115"/>
      <c r="P15" s="9" t="s">
        <v>23</v>
      </c>
      <c r="Q15" s="13" t="s">
        <v>15</v>
      </c>
      <c r="R15" s="11">
        <f>2280000</f>
        <v>2280000</v>
      </c>
      <c r="S15" s="12">
        <v>0</v>
      </c>
      <c r="T15" s="114">
        <f t="shared" si="16"/>
        <v>2280000</v>
      </c>
      <c r="U15" s="115"/>
      <c r="W15" s="9" t="s">
        <v>23</v>
      </c>
      <c r="X15" s="13" t="s">
        <v>15</v>
      </c>
      <c r="Y15" s="11">
        <v>466000000</v>
      </c>
      <c r="Z15" s="12">
        <v>0</v>
      </c>
      <c r="AA15" s="114">
        <f>+Y15/400</f>
        <v>1165000</v>
      </c>
      <c r="AB15" s="115"/>
      <c r="AD15" s="9" t="s">
        <v>23</v>
      </c>
      <c r="AE15" s="13" t="s">
        <v>15</v>
      </c>
      <c r="AF15" s="11">
        <v>2003385.3502446262</v>
      </c>
      <c r="AG15" s="12">
        <v>0</v>
      </c>
      <c r="AH15" s="114">
        <f t="shared" si="17"/>
        <v>2003385.3502446262</v>
      </c>
      <c r="AI15" s="115"/>
      <c r="AK15" s="9" t="s">
        <v>23</v>
      </c>
      <c r="AL15" s="13" t="s">
        <v>15</v>
      </c>
      <c r="AM15" s="11">
        <v>7725000</v>
      </c>
      <c r="AN15" s="12">
        <v>0</v>
      </c>
      <c r="AO15" s="99">
        <f t="shared" si="18"/>
        <v>7725000</v>
      </c>
      <c r="AP15" s="100"/>
      <c r="AR15" s="9" t="s">
        <v>23</v>
      </c>
      <c r="AS15" s="13" t="s">
        <v>15</v>
      </c>
      <c r="AT15" s="11">
        <v>1728000</v>
      </c>
      <c r="AU15" s="12">
        <v>0</v>
      </c>
      <c r="AV15" s="99">
        <f t="shared" si="19"/>
        <v>1728000</v>
      </c>
      <c r="AW15" s="100"/>
      <c r="AY15" s="9" t="s">
        <v>23</v>
      </c>
      <c r="AZ15" s="13" t="s">
        <v>15</v>
      </c>
      <c r="BA15" s="11">
        <v>2563200</v>
      </c>
      <c r="BB15" s="12">
        <v>487008</v>
      </c>
      <c r="BC15" s="99">
        <v>3050208</v>
      </c>
      <c r="BD15" s="100"/>
      <c r="BF15" s="9" t="s">
        <v>23</v>
      </c>
      <c r="BG15" s="13" t="s">
        <v>15</v>
      </c>
      <c r="BH15" s="11">
        <v>3300000</v>
      </c>
      <c r="BI15" s="12">
        <v>0</v>
      </c>
      <c r="BJ15" s="108">
        <f>BH15+BI15</f>
        <v>3300000</v>
      </c>
      <c r="BK15" s="109"/>
      <c r="BM15" s="54" t="s">
        <v>23</v>
      </c>
      <c r="BN15" s="58" t="s">
        <v>15</v>
      </c>
      <c r="BO15" s="56">
        <v>3000000</v>
      </c>
      <c r="BP15" s="57">
        <v>0</v>
      </c>
      <c r="BQ15" s="93">
        <f t="shared" si="20"/>
        <v>3000000</v>
      </c>
      <c r="BR15" s="94"/>
      <c r="BT15" s="9" t="s">
        <v>23</v>
      </c>
      <c r="BU15" s="13" t="s">
        <v>15</v>
      </c>
      <c r="BV15" s="11">
        <v>2200000</v>
      </c>
      <c r="BW15" s="12">
        <v>0</v>
      </c>
      <c r="BX15" s="99">
        <f t="shared" si="21"/>
        <v>2200000</v>
      </c>
      <c r="BY15" s="100"/>
      <c r="CA15" s="9" t="s">
        <v>23</v>
      </c>
      <c r="CB15" s="13" t="s">
        <v>15</v>
      </c>
      <c r="CC15" s="11">
        <v>3067222.2222222164</v>
      </c>
      <c r="CD15" s="12">
        <f>CC15*0.19</f>
        <v>582772.22222222108</v>
      </c>
      <c r="CE15" s="99">
        <f t="shared" ref="CE15:CE17" si="24">CC15+CD15</f>
        <v>3649994.4444444375</v>
      </c>
      <c r="CF15" s="100"/>
      <c r="CH15" s="70" t="s">
        <v>23</v>
      </c>
      <c r="CI15" s="71" t="s">
        <v>15</v>
      </c>
      <c r="CJ15" s="72">
        <f t="shared" ref="CJ15:CJ17" si="25">+MAX(F15,M15,T15,AA15,AH15,AO15,AV15,BC15,BJ15,BQ15,BX15,CE15)</f>
        <v>7725000</v>
      </c>
      <c r="CK15" s="72">
        <f t="shared" ref="CK15:CK17" si="26">+MIN(F15,M15,T15,AA15,AH15,AO15,AV15,BC15,BJ15,BQ15,BX15,CE15)</f>
        <v>1165000</v>
      </c>
      <c r="CL15" s="72">
        <f t="shared" ref="CL15:CL17" si="27">+AVERAGE(F15,M15,T15,AA15,AH15,AO15,AV15,BC15,BJ15,BQ15,BX15,CE15)</f>
        <v>3064882.3162240889</v>
      </c>
      <c r="CM15" s="72">
        <f>+TRIMMEAN((F15,M15,T15,AA15,AH15,AO15,AV15,BC15,BJ15,BQ15,BX15,CE15),(2/12))</f>
        <v>2788858.7794689061</v>
      </c>
      <c r="CN15" s="72">
        <f t="shared" ref="CN15:CN17" si="28">+MEDIAN(F15,M15,T15,AA15,AH15,AO15,AV15,BC15,BJ15,BQ15,BX15,CE15)</f>
        <v>2875000</v>
      </c>
      <c r="CO15" s="86" t="str">
        <f t="shared" ref="CO15:CO17" si="29">IFERROR(MODE(F15,M15,T15,AA15,AH15,AO15,AV15,BC15,BJ15,BQ15,BX15,CE15),"N/A")</f>
        <v>N/A</v>
      </c>
      <c r="CP15" s="89">
        <f>+STDEV(F15,M15,T15,AA15,AH15,AO15,AV15,BC15,BJ15,BQ15,BX15,CE15)/CL15</f>
        <v>0.54639786933462631</v>
      </c>
      <c r="CQ15" t="s">
        <v>176</v>
      </c>
      <c r="CR15" t="s">
        <v>165</v>
      </c>
    </row>
    <row r="16" spans="1:96" ht="17" customHeight="1" x14ac:dyDescent="0.2">
      <c r="A16" s="126"/>
      <c r="B16" s="9" t="s">
        <v>24</v>
      </c>
      <c r="C16" s="13" t="s">
        <v>17</v>
      </c>
      <c r="D16" s="11">
        <v>3200000</v>
      </c>
      <c r="E16" s="12">
        <f t="shared" si="22"/>
        <v>608000</v>
      </c>
      <c r="F16" s="99">
        <f t="shared" si="15"/>
        <v>3808000</v>
      </c>
      <c r="G16" s="100"/>
      <c r="I16" s="9" t="s">
        <v>24</v>
      </c>
      <c r="J16" s="13" t="s">
        <v>17</v>
      </c>
      <c r="K16" s="11">
        <v>2590000</v>
      </c>
      <c r="L16" s="12">
        <v>0</v>
      </c>
      <c r="M16" s="114">
        <f t="shared" si="23"/>
        <v>2590000</v>
      </c>
      <c r="N16" s="115"/>
      <c r="P16" s="9" t="s">
        <v>24</v>
      </c>
      <c r="Q16" s="13" t="s">
        <v>17</v>
      </c>
      <c r="R16" s="11">
        <f>2166000</f>
        <v>2166000</v>
      </c>
      <c r="S16" s="12">
        <v>0</v>
      </c>
      <c r="T16" s="114">
        <f t="shared" si="16"/>
        <v>2166000</v>
      </c>
      <c r="U16" s="115"/>
      <c r="W16" s="9" t="s">
        <v>24</v>
      </c>
      <c r="X16" s="13" t="s">
        <v>17</v>
      </c>
      <c r="Y16" s="11">
        <v>575000000</v>
      </c>
      <c r="Z16" s="12">
        <v>0</v>
      </c>
      <c r="AA16" s="114">
        <f>+Y16/500</f>
        <v>1150000</v>
      </c>
      <c r="AB16" s="115"/>
      <c r="AD16" s="9" t="s">
        <v>24</v>
      </c>
      <c r="AE16" s="13" t="s">
        <v>17</v>
      </c>
      <c r="AF16" s="11">
        <v>1983744.3173990906</v>
      </c>
      <c r="AG16" s="12">
        <v>0</v>
      </c>
      <c r="AH16" s="114">
        <f t="shared" si="17"/>
        <v>1983744.3173990906</v>
      </c>
      <c r="AI16" s="115"/>
      <c r="AK16" s="9" t="s">
        <v>24</v>
      </c>
      <c r="AL16" s="13" t="s">
        <v>17</v>
      </c>
      <c r="AM16" s="11">
        <v>7350000</v>
      </c>
      <c r="AN16" s="12">
        <v>0</v>
      </c>
      <c r="AO16" s="99">
        <f t="shared" si="18"/>
        <v>7350000</v>
      </c>
      <c r="AP16" s="100"/>
      <c r="AR16" s="9" t="s">
        <v>24</v>
      </c>
      <c r="AS16" s="13" t="s">
        <v>17</v>
      </c>
      <c r="AT16" s="11">
        <v>1400000</v>
      </c>
      <c r="AU16" s="12">
        <v>0</v>
      </c>
      <c r="AV16" s="99">
        <f t="shared" si="19"/>
        <v>1400000</v>
      </c>
      <c r="AW16" s="100"/>
      <c r="AY16" s="9" t="s">
        <v>24</v>
      </c>
      <c r="AZ16" s="13" t="s">
        <v>17</v>
      </c>
      <c r="BA16" s="11">
        <v>2552400</v>
      </c>
      <c r="BB16" s="12">
        <v>484956</v>
      </c>
      <c r="BC16" s="99">
        <v>3037356</v>
      </c>
      <c r="BD16" s="100"/>
      <c r="BF16" s="9" t="s">
        <v>24</v>
      </c>
      <c r="BG16" s="13" t="s">
        <v>17</v>
      </c>
      <c r="BH16" s="11">
        <v>3100000</v>
      </c>
      <c r="BI16" s="12">
        <v>0</v>
      </c>
      <c r="BJ16" s="108">
        <f>BH16+BI16</f>
        <v>3100000</v>
      </c>
      <c r="BK16" s="109"/>
      <c r="BM16" s="54" t="s">
        <v>24</v>
      </c>
      <c r="BN16" s="58" t="s">
        <v>17</v>
      </c>
      <c r="BO16" s="56">
        <v>3000000</v>
      </c>
      <c r="BP16" s="57">
        <v>0</v>
      </c>
      <c r="BQ16" s="93">
        <f t="shared" si="20"/>
        <v>3000000</v>
      </c>
      <c r="BR16" s="94"/>
      <c r="BT16" s="9" t="s">
        <v>24</v>
      </c>
      <c r="BU16" s="13" t="s">
        <v>17</v>
      </c>
      <c r="BV16" s="11">
        <v>2000000</v>
      </c>
      <c r="BW16" s="12">
        <v>0</v>
      </c>
      <c r="BX16" s="99">
        <f t="shared" si="21"/>
        <v>2000000</v>
      </c>
      <c r="BY16" s="100"/>
      <c r="CA16" s="9" t="s">
        <v>24</v>
      </c>
      <c r="CB16" s="13" t="s">
        <v>17</v>
      </c>
      <c r="CC16" s="11">
        <v>3067222.2222222164</v>
      </c>
      <c r="CD16" s="12">
        <f>CC16*0.19</f>
        <v>582772.22222222108</v>
      </c>
      <c r="CE16" s="99">
        <f t="shared" si="24"/>
        <v>3649994.4444444375</v>
      </c>
      <c r="CF16" s="100"/>
      <c r="CH16" s="70" t="s">
        <v>24</v>
      </c>
      <c r="CI16" s="71" t="s">
        <v>17</v>
      </c>
      <c r="CJ16" s="72">
        <f t="shared" si="25"/>
        <v>7350000</v>
      </c>
      <c r="CK16" s="72">
        <f t="shared" si="26"/>
        <v>1150000</v>
      </c>
      <c r="CL16" s="72">
        <f t="shared" si="27"/>
        <v>2936257.8968202942</v>
      </c>
      <c r="CM16" s="72">
        <f>+TRIMMEAN((F16,M16,T16,AA16,AH16,AO16,AV16,BC16,BJ16,BQ16,BX16,CE16),(2/12))</f>
        <v>2673509.4761843528</v>
      </c>
      <c r="CN16" s="72">
        <f t="shared" si="28"/>
        <v>2795000</v>
      </c>
      <c r="CO16" s="86" t="str">
        <f t="shared" si="29"/>
        <v>N/A</v>
      </c>
      <c r="CP16" s="89">
        <f>+STDEV(F16,M16,T16,AA16,AH16,AO16,AV16,BC16,BJ16,BQ16,BX16,CE16)/CL16</f>
        <v>0.55144572558699279</v>
      </c>
      <c r="CQ16" t="s">
        <v>176</v>
      </c>
      <c r="CR16" t="s">
        <v>165</v>
      </c>
    </row>
    <row r="17" spans="1:96" ht="17" customHeight="1" thickBot="1" x14ac:dyDescent="0.25">
      <c r="A17" s="127"/>
      <c r="B17" s="9" t="s">
        <v>25</v>
      </c>
      <c r="C17" s="14" t="s">
        <v>19</v>
      </c>
      <c r="D17" s="11">
        <v>2895000</v>
      </c>
      <c r="E17" s="12">
        <f t="shared" si="22"/>
        <v>550050</v>
      </c>
      <c r="F17" s="99">
        <f t="shared" si="15"/>
        <v>3445050</v>
      </c>
      <c r="G17" s="100"/>
      <c r="I17" s="9" t="s">
        <v>25</v>
      </c>
      <c r="J17" s="14" t="s">
        <v>19</v>
      </c>
      <c r="K17" s="11">
        <v>2500000</v>
      </c>
      <c r="L17" s="12">
        <v>0</v>
      </c>
      <c r="M17" s="114">
        <f t="shared" si="23"/>
        <v>2500000</v>
      </c>
      <c r="N17" s="115"/>
      <c r="P17" s="9" t="s">
        <v>25</v>
      </c>
      <c r="Q17" s="14" t="s">
        <v>19</v>
      </c>
      <c r="R17" s="11">
        <f>2057000</f>
        <v>2057000</v>
      </c>
      <c r="S17" s="12">
        <v>0</v>
      </c>
      <c r="T17" s="114">
        <f t="shared" si="16"/>
        <v>2057000</v>
      </c>
      <c r="U17" s="115"/>
      <c r="W17" s="9" t="s">
        <v>25</v>
      </c>
      <c r="X17" s="14" t="s">
        <v>19</v>
      </c>
      <c r="Y17" s="11">
        <v>575000000</v>
      </c>
      <c r="Z17" s="12">
        <v>0</v>
      </c>
      <c r="AA17" s="114">
        <f>+Y17/500</f>
        <v>1150000</v>
      </c>
      <c r="AB17" s="115"/>
      <c r="AD17" s="9" t="s">
        <v>25</v>
      </c>
      <c r="AE17" s="14" t="s">
        <v>19</v>
      </c>
      <c r="AF17" s="11">
        <v>1964484.6638321092</v>
      </c>
      <c r="AG17" s="12">
        <v>0</v>
      </c>
      <c r="AH17" s="114">
        <f t="shared" si="17"/>
        <v>1964484.6638321092</v>
      </c>
      <c r="AI17" s="115"/>
      <c r="AK17" s="9" t="s">
        <v>25</v>
      </c>
      <c r="AL17" s="14" t="s">
        <v>179</v>
      </c>
      <c r="AM17" s="11">
        <v>6790000</v>
      </c>
      <c r="AN17" s="12">
        <v>0</v>
      </c>
      <c r="AO17" s="99">
        <f t="shared" si="18"/>
        <v>6790000</v>
      </c>
      <c r="AP17" s="100"/>
      <c r="AR17" s="9" t="s">
        <v>25</v>
      </c>
      <c r="AS17" s="14" t="s">
        <v>19</v>
      </c>
      <c r="AT17" s="11">
        <v>1200000</v>
      </c>
      <c r="AU17" s="12">
        <v>0</v>
      </c>
      <c r="AV17" s="99">
        <f t="shared" si="19"/>
        <v>1200000</v>
      </c>
      <c r="AW17" s="100"/>
      <c r="AY17" s="9" t="s">
        <v>25</v>
      </c>
      <c r="AZ17" s="14" t="s">
        <v>19</v>
      </c>
      <c r="BA17" s="11">
        <v>2538000</v>
      </c>
      <c r="BB17" s="12">
        <v>482220</v>
      </c>
      <c r="BC17" s="99">
        <v>3020220</v>
      </c>
      <c r="BD17" s="100"/>
      <c r="BF17" s="9" t="s">
        <v>25</v>
      </c>
      <c r="BG17" s="14" t="s">
        <v>19</v>
      </c>
      <c r="BH17" s="11">
        <v>3000000</v>
      </c>
      <c r="BI17" s="12">
        <v>0</v>
      </c>
      <c r="BJ17" s="110">
        <f>BH17+BI17</f>
        <v>3000000</v>
      </c>
      <c r="BK17" s="111"/>
      <c r="BM17" s="54" t="s">
        <v>25</v>
      </c>
      <c r="BN17" s="59" t="s">
        <v>19</v>
      </c>
      <c r="BO17" s="56">
        <v>3000000</v>
      </c>
      <c r="BP17" s="57">
        <v>0</v>
      </c>
      <c r="BQ17" s="93">
        <f t="shared" si="20"/>
        <v>3000000</v>
      </c>
      <c r="BR17" s="94"/>
      <c r="BT17" s="9" t="s">
        <v>25</v>
      </c>
      <c r="BU17" s="14" t="s">
        <v>19</v>
      </c>
      <c r="BV17" s="11">
        <v>2000000</v>
      </c>
      <c r="BW17" s="12">
        <v>0</v>
      </c>
      <c r="BX17" s="99">
        <f t="shared" si="21"/>
        <v>2000000</v>
      </c>
      <c r="BY17" s="100"/>
      <c r="CA17" s="9" t="s">
        <v>25</v>
      </c>
      <c r="CB17" s="14" t="s">
        <v>19</v>
      </c>
      <c r="CC17" s="11">
        <v>2002222.2222222167</v>
      </c>
      <c r="CD17" s="12">
        <f>CC17*0.19</f>
        <v>380422.22222222114</v>
      </c>
      <c r="CE17" s="99">
        <f t="shared" si="24"/>
        <v>2382644.444444438</v>
      </c>
      <c r="CF17" s="100"/>
      <c r="CH17" s="70" t="s">
        <v>25</v>
      </c>
      <c r="CI17" s="71" t="s">
        <v>19</v>
      </c>
      <c r="CJ17" s="72">
        <f t="shared" si="25"/>
        <v>6790000</v>
      </c>
      <c r="CK17" s="72">
        <f t="shared" si="26"/>
        <v>1150000</v>
      </c>
      <c r="CL17" s="72">
        <f t="shared" si="27"/>
        <v>2709116.5923563787</v>
      </c>
      <c r="CM17" s="72">
        <f>+TRIMMEAN((F17,M17,T17,AA17,AH17,AO17,AV17,BC17,BJ17,BQ17,BX17,CE17),(2/12))</f>
        <v>2456939.9108276544</v>
      </c>
      <c r="CN17" s="72">
        <f t="shared" si="28"/>
        <v>2441322.2222222192</v>
      </c>
      <c r="CO17" s="86">
        <f t="shared" si="29"/>
        <v>3000000</v>
      </c>
      <c r="CP17" s="89">
        <f>+STDEV(F17,M17,T17,AA17,AH17,AO17,AV17,BC17,BJ17,BQ17,BX17,CE17)/CL17</f>
        <v>0.54298300767010732</v>
      </c>
      <c r="CQ17" t="s">
        <v>176</v>
      </c>
      <c r="CR17" t="s">
        <v>165</v>
      </c>
    </row>
    <row r="18" spans="1:96" ht="46" customHeight="1" thickBot="1" x14ac:dyDescent="0.25">
      <c r="A18" s="1" t="s">
        <v>1</v>
      </c>
      <c r="B18" s="103" t="s">
        <v>26</v>
      </c>
      <c r="C18" s="104"/>
      <c r="D18" s="104"/>
      <c r="E18" s="105"/>
      <c r="F18" s="18" t="s">
        <v>3</v>
      </c>
      <c r="G18" s="19" t="s">
        <v>27</v>
      </c>
      <c r="I18" s="15" t="s">
        <v>26</v>
      </c>
      <c r="J18" s="16"/>
      <c r="K18" s="16"/>
      <c r="L18" s="17"/>
      <c r="M18" s="18" t="s">
        <v>3</v>
      </c>
      <c r="N18" s="19" t="s">
        <v>27</v>
      </c>
      <c r="P18" s="103" t="s">
        <v>26</v>
      </c>
      <c r="Q18" s="104"/>
      <c r="R18" s="104"/>
      <c r="S18" s="105"/>
      <c r="T18" s="18" t="s">
        <v>3</v>
      </c>
      <c r="U18" s="19" t="s">
        <v>27</v>
      </c>
      <c r="W18" s="15" t="s">
        <v>26</v>
      </c>
      <c r="X18" s="16"/>
      <c r="Y18" s="16"/>
      <c r="Z18" s="17"/>
      <c r="AA18" s="18" t="s">
        <v>3</v>
      </c>
      <c r="AB18" s="19" t="s">
        <v>27</v>
      </c>
      <c r="AD18" s="103" t="s">
        <v>26</v>
      </c>
      <c r="AE18" s="104"/>
      <c r="AF18" s="104"/>
      <c r="AG18" s="105"/>
      <c r="AH18" s="18" t="s">
        <v>3</v>
      </c>
      <c r="AI18" s="19" t="s">
        <v>27</v>
      </c>
      <c r="AK18" s="103" t="s">
        <v>26</v>
      </c>
      <c r="AL18" s="104"/>
      <c r="AM18" s="104"/>
      <c r="AN18" s="105"/>
      <c r="AO18" s="18" t="s">
        <v>3</v>
      </c>
      <c r="AP18" s="19" t="s">
        <v>27</v>
      </c>
      <c r="AR18" s="103" t="s">
        <v>26</v>
      </c>
      <c r="AS18" s="104"/>
      <c r="AT18" s="104"/>
      <c r="AU18" s="105"/>
      <c r="AV18" s="18" t="s">
        <v>3</v>
      </c>
      <c r="AW18" s="19" t="s">
        <v>27</v>
      </c>
      <c r="AY18" s="103" t="s">
        <v>26</v>
      </c>
      <c r="AZ18" s="104"/>
      <c r="BA18" s="104"/>
      <c r="BB18" s="105"/>
      <c r="BC18" s="18" t="s">
        <v>3</v>
      </c>
      <c r="BD18" s="19" t="s">
        <v>27</v>
      </c>
      <c r="BF18" s="103" t="s">
        <v>26</v>
      </c>
      <c r="BG18" s="104"/>
      <c r="BH18" s="104"/>
      <c r="BI18" s="105"/>
      <c r="BJ18" s="18" t="s">
        <v>3</v>
      </c>
      <c r="BK18" s="19" t="s">
        <v>27</v>
      </c>
      <c r="BM18" s="95" t="s">
        <v>26</v>
      </c>
      <c r="BN18" s="96"/>
      <c r="BO18" s="96"/>
      <c r="BP18" s="97"/>
      <c r="BQ18" s="60" t="s">
        <v>3</v>
      </c>
      <c r="BR18" s="61" t="s">
        <v>27</v>
      </c>
      <c r="BT18" s="103" t="s">
        <v>26</v>
      </c>
      <c r="BU18" s="104"/>
      <c r="BV18" s="104"/>
      <c r="BW18" s="105"/>
      <c r="BX18" s="18" t="s">
        <v>3</v>
      </c>
      <c r="BY18" s="19" t="s">
        <v>27</v>
      </c>
      <c r="CA18" s="103" t="s">
        <v>26</v>
      </c>
      <c r="CB18" s="104"/>
      <c r="CC18" s="104"/>
      <c r="CD18" s="105"/>
      <c r="CE18" s="18" t="s">
        <v>3</v>
      </c>
      <c r="CF18" s="19" t="s">
        <v>27</v>
      </c>
    </row>
    <row r="19" spans="1:96" ht="46" thickBot="1" x14ac:dyDescent="0.25">
      <c r="A19" s="3" t="s">
        <v>5</v>
      </c>
      <c r="B19" s="20" t="s">
        <v>6</v>
      </c>
      <c r="C19" s="20" t="s">
        <v>7</v>
      </c>
      <c r="D19" s="20" t="s">
        <v>8</v>
      </c>
      <c r="E19" s="21" t="s">
        <v>9</v>
      </c>
      <c r="F19" s="106" t="s">
        <v>21</v>
      </c>
      <c r="G19" s="107"/>
      <c r="I19" s="20" t="s">
        <v>6</v>
      </c>
      <c r="J19" s="20" t="s">
        <v>7</v>
      </c>
      <c r="K19" s="20" t="s">
        <v>8</v>
      </c>
      <c r="L19" s="21" t="s">
        <v>9</v>
      </c>
      <c r="M19" s="22" t="s">
        <v>21</v>
      </c>
      <c r="N19" s="23"/>
      <c r="P19" s="20" t="s">
        <v>6</v>
      </c>
      <c r="Q19" s="20" t="s">
        <v>7</v>
      </c>
      <c r="R19" s="20" t="s">
        <v>8</v>
      </c>
      <c r="S19" s="21" t="s">
        <v>9</v>
      </c>
      <c r="T19" s="106" t="s">
        <v>21</v>
      </c>
      <c r="U19" s="107"/>
      <c r="W19" s="20" t="s">
        <v>6</v>
      </c>
      <c r="X19" s="20" t="s">
        <v>7</v>
      </c>
      <c r="Y19" s="20" t="s">
        <v>8</v>
      </c>
      <c r="Z19" s="21" t="s">
        <v>9</v>
      </c>
      <c r="AA19" s="22" t="s">
        <v>21</v>
      </c>
      <c r="AB19" s="23"/>
      <c r="AD19" s="20" t="s">
        <v>6</v>
      </c>
      <c r="AE19" s="20" t="s">
        <v>7</v>
      </c>
      <c r="AF19" s="20" t="s">
        <v>8</v>
      </c>
      <c r="AG19" s="21" t="s">
        <v>9</v>
      </c>
      <c r="AH19" s="106" t="s">
        <v>21</v>
      </c>
      <c r="AI19" s="107"/>
      <c r="AK19" s="20" t="s">
        <v>6</v>
      </c>
      <c r="AL19" s="20" t="s">
        <v>7</v>
      </c>
      <c r="AM19" s="20" t="s">
        <v>8</v>
      </c>
      <c r="AN19" s="21" t="s">
        <v>9</v>
      </c>
      <c r="AO19" s="106" t="s">
        <v>21</v>
      </c>
      <c r="AP19" s="107"/>
      <c r="AR19" s="20" t="s">
        <v>6</v>
      </c>
      <c r="AS19" s="20" t="s">
        <v>7</v>
      </c>
      <c r="AT19" s="20" t="s">
        <v>8</v>
      </c>
      <c r="AU19" s="21" t="s">
        <v>9</v>
      </c>
      <c r="AV19" s="106" t="s">
        <v>21</v>
      </c>
      <c r="AW19" s="107"/>
      <c r="AY19" s="20" t="s">
        <v>6</v>
      </c>
      <c r="AZ19" s="20" t="s">
        <v>7</v>
      </c>
      <c r="BA19" s="20" t="s">
        <v>8</v>
      </c>
      <c r="BB19" s="21" t="s">
        <v>9</v>
      </c>
      <c r="BC19" s="106" t="s">
        <v>21</v>
      </c>
      <c r="BD19" s="107"/>
      <c r="BF19" s="20" t="s">
        <v>6</v>
      </c>
      <c r="BG19" s="20" t="s">
        <v>7</v>
      </c>
      <c r="BH19" s="20" t="s">
        <v>8</v>
      </c>
      <c r="BI19" s="21" t="s">
        <v>9</v>
      </c>
      <c r="BJ19" s="106" t="s">
        <v>21</v>
      </c>
      <c r="BK19" s="107"/>
      <c r="BM19" s="52" t="s">
        <v>6</v>
      </c>
      <c r="BN19" s="52" t="s">
        <v>7</v>
      </c>
      <c r="BO19" s="52" t="s">
        <v>8</v>
      </c>
      <c r="BP19" s="53" t="s">
        <v>9</v>
      </c>
      <c r="BQ19" s="98" t="s">
        <v>21</v>
      </c>
      <c r="BR19" s="97"/>
      <c r="BT19" s="20" t="s">
        <v>6</v>
      </c>
      <c r="BU19" s="20" t="s">
        <v>7</v>
      </c>
      <c r="BV19" s="20" t="s">
        <v>8</v>
      </c>
      <c r="BW19" s="21" t="s">
        <v>9</v>
      </c>
      <c r="BX19" s="106" t="s">
        <v>21</v>
      </c>
      <c r="BY19" s="107"/>
      <c r="CA19" s="20" t="s">
        <v>6</v>
      </c>
      <c r="CB19" s="20" t="s">
        <v>7</v>
      </c>
      <c r="CC19" s="20" t="s">
        <v>8</v>
      </c>
      <c r="CD19" s="21" t="s">
        <v>9</v>
      </c>
      <c r="CE19" s="106" t="s">
        <v>21</v>
      </c>
      <c r="CF19" s="107"/>
      <c r="CH19" s="68" t="s">
        <v>6</v>
      </c>
      <c r="CI19" s="68" t="s">
        <v>7</v>
      </c>
      <c r="CJ19" s="69" t="s">
        <v>268</v>
      </c>
      <c r="CK19" s="69" t="s">
        <v>269</v>
      </c>
      <c r="CL19" s="69" t="s">
        <v>270</v>
      </c>
      <c r="CM19" s="76" t="s">
        <v>273</v>
      </c>
      <c r="CN19" s="69" t="s">
        <v>271</v>
      </c>
      <c r="CO19" s="69" t="s">
        <v>272</v>
      </c>
      <c r="CQ19" s="92" t="s">
        <v>291</v>
      </c>
      <c r="CR19" s="92" t="s">
        <v>292</v>
      </c>
    </row>
    <row r="20" spans="1:96" x14ac:dyDescent="0.2">
      <c r="A20" s="125" t="s">
        <v>11</v>
      </c>
      <c r="B20" s="9" t="s">
        <v>28</v>
      </c>
      <c r="C20" s="10" t="s">
        <v>13</v>
      </c>
      <c r="D20" s="11">
        <v>3500000</v>
      </c>
      <c r="E20" s="12">
        <f>(D20*19)/100</f>
        <v>665000</v>
      </c>
      <c r="F20" s="99">
        <f>D20+E20</f>
        <v>4165000</v>
      </c>
      <c r="G20" s="100"/>
      <c r="I20" s="9" t="s">
        <v>28</v>
      </c>
      <c r="J20" s="10" t="s">
        <v>13</v>
      </c>
      <c r="K20" s="11">
        <v>2950000</v>
      </c>
      <c r="L20" s="12">
        <v>0</v>
      </c>
      <c r="M20" s="114">
        <f>+K20+L20</f>
        <v>2950000</v>
      </c>
      <c r="N20" s="115"/>
      <c r="P20" s="9" t="s">
        <v>28</v>
      </c>
      <c r="Q20" s="10" t="s">
        <v>13</v>
      </c>
      <c r="R20" s="11">
        <v>2400000</v>
      </c>
      <c r="S20" s="12">
        <v>0</v>
      </c>
      <c r="T20" s="114">
        <f>R20+S20</f>
        <v>2400000</v>
      </c>
      <c r="U20" s="115"/>
      <c r="W20" s="9" t="s">
        <v>28</v>
      </c>
      <c r="X20" s="10" t="s">
        <v>13</v>
      </c>
      <c r="Y20" s="11">
        <v>387000000</v>
      </c>
      <c r="Z20" s="12">
        <v>0</v>
      </c>
      <c r="AA20" s="114">
        <f>+Y20/300</f>
        <v>1290000</v>
      </c>
      <c r="AB20" s="115"/>
      <c r="AD20" s="9" t="s">
        <v>28</v>
      </c>
      <c r="AE20" s="10" t="s">
        <v>13</v>
      </c>
      <c r="AF20" s="11">
        <v>2003385.3502446262</v>
      </c>
      <c r="AG20" s="12">
        <v>0</v>
      </c>
      <c r="AH20" s="114">
        <f>AF20+AG20</f>
        <v>2003385.3502446262</v>
      </c>
      <c r="AI20" s="115"/>
      <c r="AK20" s="9" t="s">
        <v>28</v>
      </c>
      <c r="AL20" s="10" t="s">
        <v>13</v>
      </c>
      <c r="AM20" s="11">
        <v>8400000</v>
      </c>
      <c r="AN20" s="12">
        <v>0</v>
      </c>
      <c r="AO20" s="99">
        <f>AM20+AN20</f>
        <v>8400000</v>
      </c>
      <c r="AP20" s="100"/>
      <c r="AR20" s="9" t="s">
        <v>28</v>
      </c>
      <c r="AS20" s="10" t="s">
        <v>13</v>
      </c>
      <c r="AT20" s="11">
        <v>2100000</v>
      </c>
      <c r="AU20" s="12">
        <v>0</v>
      </c>
      <c r="AV20" s="99">
        <f>AT20+AU20</f>
        <v>2100000</v>
      </c>
      <c r="AW20" s="100"/>
      <c r="AY20" s="9" t="s">
        <v>28</v>
      </c>
      <c r="AZ20" s="10" t="s">
        <v>13</v>
      </c>
      <c r="BA20" s="11">
        <v>2231000</v>
      </c>
      <c r="BB20" s="12">
        <v>423890</v>
      </c>
      <c r="BC20" s="99">
        <v>2654890</v>
      </c>
      <c r="BD20" s="100"/>
      <c r="BF20" s="9" t="s">
        <v>28</v>
      </c>
      <c r="BG20" s="10" t="s">
        <v>13</v>
      </c>
      <c r="BH20" s="11">
        <v>3900000</v>
      </c>
      <c r="BI20" s="12">
        <v>0</v>
      </c>
      <c r="BJ20" s="99">
        <f>BH20+BI20</f>
        <v>3900000</v>
      </c>
      <c r="BK20" s="100"/>
      <c r="BM20" s="54" t="s">
        <v>28</v>
      </c>
      <c r="BN20" s="55" t="s">
        <v>13</v>
      </c>
      <c r="BO20" s="56">
        <v>3000000</v>
      </c>
      <c r="BP20" s="57">
        <v>0</v>
      </c>
      <c r="BQ20" s="93">
        <f t="shared" ref="BQ20:BQ23" si="30">BO20+BP20</f>
        <v>3000000</v>
      </c>
      <c r="BR20" s="94"/>
      <c r="BT20" s="9" t="s">
        <v>28</v>
      </c>
      <c r="BU20" s="10" t="s">
        <v>13</v>
      </c>
      <c r="BV20" s="11">
        <v>2500000</v>
      </c>
      <c r="BW20" s="12">
        <v>0</v>
      </c>
      <c r="BX20" s="99">
        <f>BV20+BW20</f>
        <v>2500000</v>
      </c>
      <c r="BY20" s="100"/>
      <c r="CA20" s="9" t="s">
        <v>28</v>
      </c>
      <c r="CB20" s="10" t="s">
        <v>13</v>
      </c>
      <c r="CC20" s="11">
        <v>3067222.2222222164</v>
      </c>
      <c r="CD20" s="12">
        <f>CC20*0.19</f>
        <v>582772.22222222108</v>
      </c>
      <c r="CE20" s="99">
        <f>CC20+CD20</f>
        <v>3649994.4444444375</v>
      </c>
      <c r="CF20" s="100"/>
      <c r="CH20" s="70" t="s">
        <v>28</v>
      </c>
      <c r="CI20" s="71" t="s">
        <v>13</v>
      </c>
      <c r="CJ20" s="72">
        <f>+MAX(F20,M20,T20,AA20,AH20,AO20,AV20,BC20,BJ20,BQ20,BX20,CE20)</f>
        <v>8400000</v>
      </c>
      <c r="CK20" s="72">
        <f>+MIN(F20,M20,T20,AA20,AH20,AO20,AV20,BC20,BJ20,BQ20,BX20,CE20)</f>
        <v>1290000</v>
      </c>
      <c r="CL20" s="72">
        <f>+AVERAGE(F20,M20,T20,AA20,AH20,AO20,AV20,BC20,BJ20,BQ20,BX20,CE20)</f>
        <v>3251105.8162240889</v>
      </c>
      <c r="CM20" s="72">
        <f>+TRIMMEAN((F20,M20,T20,AA20,AH20,AO20,AV20,BC20,BJ20,BQ20,BX20,CE20),(2/12))</f>
        <v>2932326.9794689063</v>
      </c>
      <c r="CN20" s="72">
        <f>+MEDIAN(F20,M20,T20,AA20,AH20,AO20,AV20,BC20,BJ20,BQ20,BX20,CE20)</f>
        <v>2802445</v>
      </c>
      <c r="CO20" s="86" t="str">
        <f>IFERROR(MODE(F20,M20,T20,AA20,AH20,AO20,AV20,BC20,BJ20,BQ20,BX20,CE20),"N/A")</f>
        <v>N/A</v>
      </c>
      <c r="CP20" s="89">
        <f>+STDEV(F20,M20,T20,AA20,AH20,AO20,AV20,BC20,BJ20,BQ20,BX20,CE20)/CL20</f>
        <v>0.55992942656012812</v>
      </c>
      <c r="CQ20" t="s">
        <v>176</v>
      </c>
      <c r="CR20" t="s">
        <v>165</v>
      </c>
    </row>
    <row r="21" spans="1:96" x14ac:dyDescent="0.2">
      <c r="A21" s="126"/>
      <c r="B21" s="9" t="s">
        <v>29</v>
      </c>
      <c r="C21" s="13" t="s">
        <v>15</v>
      </c>
      <c r="D21" s="11">
        <v>3300000</v>
      </c>
      <c r="E21" s="12">
        <f t="shared" ref="E21:E23" si="31">(D21*19)/100</f>
        <v>627000</v>
      </c>
      <c r="F21" s="99">
        <f t="shared" ref="F21:F23" si="32">D21+E21</f>
        <v>3927000</v>
      </c>
      <c r="G21" s="100"/>
      <c r="I21" s="9" t="s">
        <v>29</v>
      </c>
      <c r="J21" s="13" t="s">
        <v>15</v>
      </c>
      <c r="K21" s="11">
        <v>2750000</v>
      </c>
      <c r="L21" s="12">
        <v>0</v>
      </c>
      <c r="M21" s="114">
        <f t="shared" ref="M21:M23" si="33">+K21+L21</f>
        <v>2750000</v>
      </c>
      <c r="N21" s="115"/>
      <c r="P21" s="9" t="s">
        <v>29</v>
      </c>
      <c r="Q21" s="13" t="s">
        <v>15</v>
      </c>
      <c r="R21" s="11">
        <f>2280000</f>
        <v>2280000</v>
      </c>
      <c r="S21" s="12">
        <v>0</v>
      </c>
      <c r="T21" s="114">
        <f t="shared" ref="T21:T23" si="34">R21+S21</f>
        <v>2280000</v>
      </c>
      <c r="U21" s="115"/>
      <c r="W21" s="9" t="s">
        <v>29</v>
      </c>
      <c r="X21" s="13" t="s">
        <v>15</v>
      </c>
      <c r="Y21" s="11">
        <v>466000000</v>
      </c>
      <c r="Z21" s="12">
        <v>0</v>
      </c>
      <c r="AA21" s="114">
        <f>+Y21/400</f>
        <v>1165000</v>
      </c>
      <c r="AB21" s="115"/>
      <c r="AD21" s="9" t="s">
        <v>29</v>
      </c>
      <c r="AE21" s="13" t="s">
        <v>15</v>
      </c>
      <c r="AF21" s="11">
        <v>1964103.2845535551</v>
      </c>
      <c r="AG21" s="12">
        <v>0</v>
      </c>
      <c r="AH21" s="114">
        <f t="shared" ref="AH21:AH23" si="35">AF21+AG21</f>
        <v>1964103.2845535551</v>
      </c>
      <c r="AI21" s="115"/>
      <c r="AK21" s="9" t="s">
        <v>29</v>
      </c>
      <c r="AL21" s="13" t="s">
        <v>15</v>
      </c>
      <c r="AM21" s="11">
        <v>7725000</v>
      </c>
      <c r="AN21" s="12">
        <v>0</v>
      </c>
      <c r="AO21" s="99">
        <f t="shared" ref="AO21:AO23" si="36">AM21+AN21</f>
        <v>7725000</v>
      </c>
      <c r="AP21" s="100"/>
      <c r="AR21" s="9" t="s">
        <v>29</v>
      </c>
      <c r="AS21" s="13" t="s">
        <v>15</v>
      </c>
      <c r="AT21" s="11">
        <v>1728000</v>
      </c>
      <c r="AU21" s="12">
        <v>0</v>
      </c>
      <c r="AV21" s="99">
        <f t="shared" ref="AV21:AV23" si="37">AT21+AU21</f>
        <v>1728000</v>
      </c>
      <c r="AW21" s="100"/>
      <c r="AY21" s="9" t="s">
        <v>29</v>
      </c>
      <c r="AZ21" s="13" t="s">
        <v>15</v>
      </c>
      <c r="BA21" s="11">
        <v>2136000</v>
      </c>
      <c r="BB21" s="12">
        <v>405840</v>
      </c>
      <c r="BC21" s="99">
        <v>2541840</v>
      </c>
      <c r="BD21" s="100"/>
      <c r="BF21" s="9" t="s">
        <v>29</v>
      </c>
      <c r="BG21" s="13" t="s">
        <v>15</v>
      </c>
      <c r="BH21" s="11">
        <v>3480000</v>
      </c>
      <c r="BI21" s="12">
        <v>0</v>
      </c>
      <c r="BJ21" s="99">
        <f>BH21+BI21</f>
        <v>3480000</v>
      </c>
      <c r="BK21" s="100"/>
      <c r="BM21" s="54" t="s">
        <v>29</v>
      </c>
      <c r="BN21" s="58" t="s">
        <v>15</v>
      </c>
      <c r="BO21" s="56">
        <v>3000000</v>
      </c>
      <c r="BP21" s="57">
        <v>0</v>
      </c>
      <c r="BQ21" s="93">
        <f t="shared" si="30"/>
        <v>3000000</v>
      </c>
      <c r="BR21" s="94"/>
      <c r="BT21" s="9" t="s">
        <v>29</v>
      </c>
      <c r="BU21" s="13" t="s">
        <v>15</v>
      </c>
      <c r="BV21" s="11">
        <v>2200000</v>
      </c>
      <c r="BW21" s="12">
        <v>0</v>
      </c>
      <c r="BX21" s="99">
        <f t="shared" ref="BX21:BX23" si="38">BV21+BW21</f>
        <v>2200000</v>
      </c>
      <c r="BY21" s="100"/>
      <c r="CA21" s="9" t="s">
        <v>29</v>
      </c>
      <c r="CB21" s="13" t="s">
        <v>15</v>
      </c>
      <c r="CC21" s="11">
        <v>3067222.2222222164</v>
      </c>
      <c r="CD21" s="12">
        <f>CC21*0.19</f>
        <v>582772.22222222108</v>
      </c>
      <c r="CE21" s="99">
        <f t="shared" ref="CE21:CE23" si="39">CC21+CD21</f>
        <v>3649994.4444444375</v>
      </c>
      <c r="CF21" s="100"/>
      <c r="CH21" s="70" t="s">
        <v>29</v>
      </c>
      <c r="CI21" s="71" t="s">
        <v>15</v>
      </c>
      <c r="CJ21" s="72">
        <f t="shared" ref="CJ21:CJ23" si="40">+MAX(F21,M21,T21,AA21,AH21,AO21,AV21,BC21,BJ21,BQ21,BX21,CE21)</f>
        <v>7725000</v>
      </c>
      <c r="CK21" s="72">
        <f t="shared" ref="CK21:CK23" si="41">+MIN(F21,M21,T21,AA21,AH21,AO21,AV21,BC21,BJ21,BQ21,BX21,CE21)</f>
        <v>1165000</v>
      </c>
      <c r="CL21" s="72">
        <f t="shared" ref="CL21:CL23" si="42">+AVERAGE(F21,M21,T21,AA21,AH21,AO21,AV21,BC21,BJ21,BQ21,BX21,CE21)</f>
        <v>3034244.810749833</v>
      </c>
      <c r="CM21" s="72">
        <f>+TRIMMEAN((F21,M21,T21,AA21,AH21,AO21,AV21,BC21,BJ21,BQ21,BX21,CE21),(2/12))</f>
        <v>2752093.7728997995</v>
      </c>
      <c r="CN21" s="72">
        <f t="shared" ref="CN21:CN23" si="43">+MEDIAN(F21,M21,T21,AA21,AH21,AO21,AV21,BC21,BJ21,BQ21,BX21,CE21)</f>
        <v>2645920</v>
      </c>
      <c r="CO21" s="86" t="str">
        <f t="shared" ref="CO21:CO23" si="44">IFERROR(MODE(F21,M21,T21,AA21,AH21,AO21,AV21,BC21,BJ21,BQ21,BX21,CE21),"N/A")</f>
        <v>N/A</v>
      </c>
      <c r="CP21" s="89">
        <f>+STDEV(F21,M21,T21,AA21,AH21,AO21,AV21,BC21,BJ21,BQ21,BX21,CE21)/CL21</f>
        <v>0.55605086135659865</v>
      </c>
      <c r="CQ21" t="s">
        <v>176</v>
      </c>
      <c r="CR21" t="s">
        <v>165</v>
      </c>
    </row>
    <row r="22" spans="1:96" ht="17" customHeight="1" x14ac:dyDescent="0.2">
      <c r="A22" s="126"/>
      <c r="B22" s="9" t="s">
        <v>30</v>
      </c>
      <c r="C22" s="13" t="s">
        <v>17</v>
      </c>
      <c r="D22" s="11">
        <v>3200000</v>
      </c>
      <c r="E22" s="12">
        <f t="shared" si="31"/>
        <v>608000</v>
      </c>
      <c r="F22" s="99">
        <f t="shared" si="32"/>
        <v>3808000</v>
      </c>
      <c r="G22" s="100"/>
      <c r="I22" s="9" t="s">
        <v>30</v>
      </c>
      <c r="J22" s="13" t="s">
        <v>17</v>
      </c>
      <c r="K22" s="11">
        <v>2590000</v>
      </c>
      <c r="L22" s="12">
        <v>0</v>
      </c>
      <c r="M22" s="114">
        <f t="shared" si="33"/>
        <v>2590000</v>
      </c>
      <c r="N22" s="115"/>
      <c r="P22" s="9" t="s">
        <v>30</v>
      </c>
      <c r="Q22" s="13" t="s">
        <v>17</v>
      </c>
      <c r="R22" s="11">
        <f>2166000</f>
        <v>2166000</v>
      </c>
      <c r="S22" s="12">
        <v>0</v>
      </c>
      <c r="T22" s="114">
        <f t="shared" si="34"/>
        <v>2166000</v>
      </c>
      <c r="U22" s="115"/>
      <c r="W22" s="9" t="s">
        <v>30</v>
      </c>
      <c r="X22" s="13" t="s">
        <v>17</v>
      </c>
      <c r="Y22" s="11">
        <v>575000000</v>
      </c>
      <c r="Z22" s="12">
        <v>0</v>
      </c>
      <c r="AA22" s="114">
        <f>+Y22/500</f>
        <v>1150000</v>
      </c>
      <c r="AB22" s="115"/>
      <c r="AD22" s="9" t="s">
        <v>30</v>
      </c>
      <c r="AE22" s="13" t="s">
        <v>17</v>
      </c>
      <c r="AF22" s="11">
        <v>1945034.3206258507</v>
      </c>
      <c r="AG22" s="12">
        <v>0</v>
      </c>
      <c r="AH22" s="114">
        <f t="shared" si="35"/>
        <v>1945034.3206258507</v>
      </c>
      <c r="AI22" s="115"/>
      <c r="AK22" s="9" t="s">
        <v>30</v>
      </c>
      <c r="AL22" s="13" t="s">
        <v>17</v>
      </c>
      <c r="AM22" s="11">
        <v>7350000</v>
      </c>
      <c r="AN22" s="12">
        <v>0</v>
      </c>
      <c r="AO22" s="99">
        <f t="shared" si="36"/>
        <v>7350000</v>
      </c>
      <c r="AP22" s="100"/>
      <c r="AR22" s="9" t="s">
        <v>30</v>
      </c>
      <c r="AS22" s="13" t="s">
        <v>17</v>
      </c>
      <c r="AT22" s="11">
        <v>1400000</v>
      </c>
      <c r="AU22" s="12">
        <v>0</v>
      </c>
      <c r="AV22" s="99">
        <f t="shared" si="37"/>
        <v>1400000</v>
      </c>
      <c r="AW22" s="100"/>
      <c r="AY22" s="9" t="s">
        <v>30</v>
      </c>
      <c r="AZ22" s="13" t="s">
        <v>17</v>
      </c>
      <c r="BA22" s="11">
        <v>2127000</v>
      </c>
      <c r="BB22" s="12">
        <v>404130</v>
      </c>
      <c r="BC22" s="99">
        <v>2531130</v>
      </c>
      <c r="BD22" s="100"/>
      <c r="BF22" s="9" t="s">
        <v>30</v>
      </c>
      <c r="BG22" s="13" t="s">
        <v>17</v>
      </c>
      <c r="BH22" s="11">
        <v>3270000</v>
      </c>
      <c r="BI22" s="12">
        <v>0</v>
      </c>
      <c r="BJ22" s="99">
        <f>BH22+BI22</f>
        <v>3270000</v>
      </c>
      <c r="BK22" s="100"/>
      <c r="BM22" s="54" t="s">
        <v>30</v>
      </c>
      <c r="BN22" s="58" t="s">
        <v>17</v>
      </c>
      <c r="BO22" s="56">
        <v>3000000</v>
      </c>
      <c r="BP22" s="57">
        <v>0</v>
      </c>
      <c r="BQ22" s="93">
        <f t="shared" si="30"/>
        <v>3000000</v>
      </c>
      <c r="BR22" s="94"/>
      <c r="BT22" s="9" t="s">
        <v>30</v>
      </c>
      <c r="BU22" s="13" t="s">
        <v>17</v>
      </c>
      <c r="BV22" s="11">
        <v>2000000</v>
      </c>
      <c r="BW22" s="12">
        <v>0</v>
      </c>
      <c r="BX22" s="99">
        <f t="shared" si="38"/>
        <v>2000000</v>
      </c>
      <c r="BY22" s="100"/>
      <c r="CA22" s="9" t="s">
        <v>30</v>
      </c>
      <c r="CB22" s="13" t="s">
        <v>17</v>
      </c>
      <c r="CC22" s="11">
        <v>3067222.2222222164</v>
      </c>
      <c r="CD22" s="12">
        <f>CC22*0.19</f>
        <v>582772.22222222108</v>
      </c>
      <c r="CE22" s="99">
        <f t="shared" si="39"/>
        <v>3649994.4444444375</v>
      </c>
      <c r="CF22" s="100"/>
      <c r="CH22" s="70" t="s">
        <v>30</v>
      </c>
      <c r="CI22" s="71" t="s">
        <v>17</v>
      </c>
      <c r="CJ22" s="72">
        <f t="shared" si="40"/>
        <v>7350000</v>
      </c>
      <c r="CK22" s="72">
        <f t="shared" si="41"/>
        <v>1150000</v>
      </c>
      <c r="CL22" s="72">
        <f t="shared" si="42"/>
        <v>2905013.2304225243</v>
      </c>
      <c r="CM22" s="72">
        <f>+TRIMMEAN((F22,M22,T22,AA22,AH22,AO22,AV22,BC22,BJ22,BQ22,BX22,CE22),(2/12))</f>
        <v>2636015.8765070285</v>
      </c>
      <c r="CN22" s="72">
        <f t="shared" si="43"/>
        <v>2560565</v>
      </c>
      <c r="CO22" s="86" t="str">
        <f t="shared" si="44"/>
        <v>N/A</v>
      </c>
      <c r="CP22" s="89">
        <f>+STDEV(F22,M22,T22,AA22,AH22,AO22,AV22,BC22,BJ22,BQ22,BX22,CE22)/CL22</f>
        <v>0.56028759443822362</v>
      </c>
      <c r="CQ22" t="s">
        <v>176</v>
      </c>
      <c r="CR22" t="s">
        <v>165</v>
      </c>
    </row>
    <row r="23" spans="1:96" ht="17" customHeight="1" thickBot="1" x14ac:dyDescent="0.25">
      <c r="A23" s="127"/>
      <c r="B23" s="9" t="s">
        <v>31</v>
      </c>
      <c r="C23" s="14" t="s">
        <v>19</v>
      </c>
      <c r="D23" s="11">
        <v>2895000</v>
      </c>
      <c r="E23" s="12">
        <f t="shared" si="31"/>
        <v>550050</v>
      </c>
      <c r="F23" s="99">
        <f t="shared" si="32"/>
        <v>3445050</v>
      </c>
      <c r="G23" s="100"/>
      <c r="I23" s="9" t="s">
        <v>31</v>
      </c>
      <c r="J23" s="14" t="s">
        <v>19</v>
      </c>
      <c r="K23" s="11">
        <v>2500000</v>
      </c>
      <c r="L23" s="12">
        <v>0</v>
      </c>
      <c r="M23" s="114">
        <f t="shared" si="33"/>
        <v>2500000</v>
      </c>
      <c r="N23" s="115"/>
      <c r="P23" s="9" t="s">
        <v>31</v>
      </c>
      <c r="Q23" s="14" t="s">
        <v>19</v>
      </c>
      <c r="R23" s="11">
        <f>2057000</f>
        <v>2057000</v>
      </c>
      <c r="S23" s="12">
        <v>0</v>
      </c>
      <c r="T23" s="114">
        <f t="shared" si="34"/>
        <v>2057000</v>
      </c>
      <c r="U23" s="115"/>
      <c r="W23" s="9" t="s">
        <v>31</v>
      </c>
      <c r="X23" s="14" t="s">
        <v>19</v>
      </c>
      <c r="Y23" s="11">
        <v>575000000</v>
      </c>
      <c r="Z23" s="12">
        <v>0</v>
      </c>
      <c r="AA23" s="114">
        <f>+Y23/500</f>
        <v>1150000</v>
      </c>
      <c r="AB23" s="115"/>
      <c r="AD23" s="9" t="s">
        <v>31</v>
      </c>
      <c r="AE23" s="14" t="s">
        <v>19</v>
      </c>
      <c r="AF23" s="11">
        <v>1926332.0675429096</v>
      </c>
      <c r="AG23" s="12">
        <v>0</v>
      </c>
      <c r="AH23" s="114">
        <f t="shared" si="35"/>
        <v>1926332.0675429096</v>
      </c>
      <c r="AI23" s="115"/>
      <c r="AK23" s="9" t="s">
        <v>31</v>
      </c>
      <c r="AL23" s="14" t="s">
        <v>179</v>
      </c>
      <c r="AM23" s="11">
        <v>6790000</v>
      </c>
      <c r="AN23" s="12">
        <v>0</v>
      </c>
      <c r="AO23" s="99">
        <f t="shared" si="36"/>
        <v>6790000</v>
      </c>
      <c r="AP23" s="100"/>
      <c r="AR23" s="9" t="s">
        <v>31</v>
      </c>
      <c r="AS23" s="14" t="s">
        <v>19</v>
      </c>
      <c r="AT23" s="11">
        <v>1200000</v>
      </c>
      <c r="AU23" s="12">
        <v>0</v>
      </c>
      <c r="AV23" s="99">
        <f t="shared" si="37"/>
        <v>1200000</v>
      </c>
      <c r="AW23" s="100"/>
      <c r="AY23" s="9" t="s">
        <v>31</v>
      </c>
      <c r="AZ23" s="14" t="s">
        <v>19</v>
      </c>
      <c r="BA23" s="11">
        <v>2115000</v>
      </c>
      <c r="BB23" s="12">
        <v>401850</v>
      </c>
      <c r="BC23" s="99">
        <v>2516850</v>
      </c>
      <c r="BD23" s="100"/>
      <c r="BF23" s="9" t="s">
        <v>31</v>
      </c>
      <c r="BG23" s="14" t="s">
        <v>19</v>
      </c>
      <c r="BH23" s="11">
        <v>3100000</v>
      </c>
      <c r="BI23" s="12">
        <v>0</v>
      </c>
      <c r="BJ23" s="99">
        <f>BH23+BI23</f>
        <v>3100000</v>
      </c>
      <c r="BK23" s="100"/>
      <c r="BM23" s="54" t="s">
        <v>31</v>
      </c>
      <c r="BN23" s="59" t="s">
        <v>19</v>
      </c>
      <c r="BO23" s="56">
        <v>3000000</v>
      </c>
      <c r="BP23" s="57">
        <v>0</v>
      </c>
      <c r="BQ23" s="93">
        <f t="shared" si="30"/>
        <v>3000000</v>
      </c>
      <c r="BR23" s="94"/>
      <c r="BT23" s="9" t="s">
        <v>31</v>
      </c>
      <c r="BU23" s="14" t="s">
        <v>19</v>
      </c>
      <c r="BV23" s="11">
        <v>2000000</v>
      </c>
      <c r="BW23" s="12">
        <v>0</v>
      </c>
      <c r="BX23" s="99">
        <f t="shared" si="38"/>
        <v>2000000</v>
      </c>
      <c r="BY23" s="100"/>
      <c r="CA23" s="9" t="s">
        <v>31</v>
      </c>
      <c r="CB23" s="14" t="s">
        <v>19</v>
      </c>
      <c r="CC23" s="11">
        <v>2002222.2222222167</v>
      </c>
      <c r="CD23" s="12">
        <f>CC23*0.19</f>
        <v>380422.22222222114</v>
      </c>
      <c r="CE23" s="99">
        <f t="shared" si="39"/>
        <v>2382644.444444438</v>
      </c>
      <c r="CF23" s="100"/>
      <c r="CH23" s="70" t="s">
        <v>31</v>
      </c>
      <c r="CI23" s="71" t="s">
        <v>19</v>
      </c>
      <c r="CJ23" s="72">
        <f t="shared" si="40"/>
        <v>6790000</v>
      </c>
      <c r="CK23" s="72">
        <f t="shared" si="41"/>
        <v>1150000</v>
      </c>
      <c r="CL23" s="72">
        <f t="shared" si="42"/>
        <v>2672323.0426656124</v>
      </c>
      <c r="CM23" s="72">
        <f>+TRIMMEAN((F23,M23,T23,AA23,AH23,AO23,AV23,BC23,BJ23,BQ23,BX23,CE23),(2/12))</f>
        <v>2412787.6511987345</v>
      </c>
      <c r="CN23" s="72">
        <f t="shared" si="43"/>
        <v>2441322.2222222192</v>
      </c>
      <c r="CO23" s="86" t="str">
        <f t="shared" si="44"/>
        <v>N/A</v>
      </c>
      <c r="CP23" s="89">
        <f>+STDEV(F23,M23,T23,AA23,AH23,AO23,AV23,BC23,BJ23,BQ23,BX23,CE23)/CL23</f>
        <v>0.55104133016732459</v>
      </c>
      <c r="CQ23" t="s">
        <v>176</v>
      </c>
      <c r="CR23" t="s">
        <v>165</v>
      </c>
    </row>
    <row r="24" spans="1:96" ht="46" customHeight="1" thickBot="1" x14ac:dyDescent="0.25">
      <c r="A24" s="1" t="s">
        <v>1</v>
      </c>
      <c r="B24" s="103" t="s">
        <v>26</v>
      </c>
      <c r="C24" s="104"/>
      <c r="D24" s="104"/>
      <c r="E24" s="105"/>
      <c r="F24" s="18" t="s">
        <v>3</v>
      </c>
      <c r="G24" s="19" t="s">
        <v>20</v>
      </c>
      <c r="I24" s="15" t="s">
        <v>26</v>
      </c>
      <c r="J24" s="16"/>
      <c r="K24" s="16"/>
      <c r="L24" s="17"/>
      <c r="M24" s="18" t="s">
        <v>3</v>
      </c>
      <c r="N24" s="19" t="s">
        <v>20</v>
      </c>
      <c r="P24" s="103" t="s">
        <v>26</v>
      </c>
      <c r="Q24" s="104"/>
      <c r="R24" s="104"/>
      <c r="S24" s="105"/>
      <c r="T24" s="18" t="s">
        <v>3</v>
      </c>
      <c r="U24" s="19" t="s">
        <v>20</v>
      </c>
      <c r="W24" s="15" t="s">
        <v>26</v>
      </c>
      <c r="X24" s="16"/>
      <c r="Y24" s="16"/>
      <c r="Z24" s="17"/>
      <c r="AA24" s="18" t="s">
        <v>3</v>
      </c>
      <c r="AB24" s="19" t="s">
        <v>20</v>
      </c>
      <c r="AD24" s="103" t="s">
        <v>26</v>
      </c>
      <c r="AE24" s="104"/>
      <c r="AF24" s="104"/>
      <c r="AG24" s="105"/>
      <c r="AH24" s="18" t="s">
        <v>3</v>
      </c>
      <c r="AI24" s="19" t="s">
        <v>20</v>
      </c>
      <c r="AK24" s="103" t="s">
        <v>26</v>
      </c>
      <c r="AL24" s="104"/>
      <c r="AM24" s="104"/>
      <c r="AN24" s="105"/>
      <c r="AO24" s="18" t="s">
        <v>3</v>
      </c>
      <c r="AP24" s="19" t="s">
        <v>20</v>
      </c>
      <c r="AR24" s="103" t="s">
        <v>26</v>
      </c>
      <c r="AS24" s="104"/>
      <c r="AT24" s="104"/>
      <c r="AU24" s="105"/>
      <c r="AV24" s="18" t="s">
        <v>3</v>
      </c>
      <c r="AW24" s="19" t="s">
        <v>20</v>
      </c>
      <c r="AY24" s="103" t="s">
        <v>26</v>
      </c>
      <c r="AZ24" s="104"/>
      <c r="BA24" s="104"/>
      <c r="BB24" s="105"/>
      <c r="BC24" s="18" t="s">
        <v>3</v>
      </c>
      <c r="BD24" s="19" t="s">
        <v>20</v>
      </c>
      <c r="BF24" s="103" t="s">
        <v>26</v>
      </c>
      <c r="BG24" s="104"/>
      <c r="BH24" s="104"/>
      <c r="BI24" s="105"/>
      <c r="BJ24" s="18" t="s">
        <v>3</v>
      </c>
      <c r="BK24" s="19" t="s">
        <v>20</v>
      </c>
      <c r="BM24" s="95" t="s">
        <v>26</v>
      </c>
      <c r="BN24" s="96"/>
      <c r="BO24" s="96"/>
      <c r="BP24" s="97"/>
      <c r="BQ24" s="60" t="s">
        <v>3</v>
      </c>
      <c r="BR24" s="61" t="s">
        <v>20</v>
      </c>
      <c r="BT24" s="103" t="s">
        <v>26</v>
      </c>
      <c r="BU24" s="104"/>
      <c r="BV24" s="104"/>
      <c r="BW24" s="105"/>
      <c r="BX24" s="18" t="s">
        <v>3</v>
      </c>
      <c r="BY24" s="19" t="s">
        <v>20</v>
      </c>
      <c r="CA24" s="103" t="s">
        <v>26</v>
      </c>
      <c r="CB24" s="104"/>
      <c r="CC24" s="104"/>
      <c r="CD24" s="105"/>
      <c r="CE24" s="18" t="s">
        <v>3</v>
      </c>
      <c r="CF24" s="19" t="s">
        <v>20</v>
      </c>
    </row>
    <row r="25" spans="1:96" ht="46" thickBot="1" x14ac:dyDescent="0.25">
      <c r="A25" s="3" t="s">
        <v>5</v>
      </c>
      <c r="B25" s="20" t="s">
        <v>6</v>
      </c>
      <c r="C25" s="20" t="s">
        <v>7</v>
      </c>
      <c r="D25" s="20" t="s">
        <v>8</v>
      </c>
      <c r="E25" s="21" t="s">
        <v>9</v>
      </c>
      <c r="F25" s="106" t="s">
        <v>21</v>
      </c>
      <c r="G25" s="107"/>
      <c r="I25" s="20" t="s">
        <v>6</v>
      </c>
      <c r="J25" s="20" t="s">
        <v>7</v>
      </c>
      <c r="K25" s="20" t="s">
        <v>8</v>
      </c>
      <c r="L25" s="21" t="s">
        <v>9</v>
      </c>
      <c r="M25" s="22" t="s">
        <v>21</v>
      </c>
      <c r="N25" s="23"/>
      <c r="P25" s="20" t="s">
        <v>6</v>
      </c>
      <c r="Q25" s="20" t="s">
        <v>7</v>
      </c>
      <c r="R25" s="20" t="s">
        <v>8</v>
      </c>
      <c r="S25" s="21" t="s">
        <v>9</v>
      </c>
      <c r="T25" s="106" t="s">
        <v>21</v>
      </c>
      <c r="U25" s="107"/>
      <c r="W25" s="20" t="s">
        <v>6</v>
      </c>
      <c r="X25" s="20" t="s">
        <v>7</v>
      </c>
      <c r="Y25" s="20" t="s">
        <v>8</v>
      </c>
      <c r="Z25" s="21" t="s">
        <v>9</v>
      </c>
      <c r="AA25" s="22" t="s">
        <v>21</v>
      </c>
      <c r="AB25" s="23"/>
      <c r="AD25" s="20" t="s">
        <v>6</v>
      </c>
      <c r="AE25" s="20" t="s">
        <v>7</v>
      </c>
      <c r="AF25" s="20" t="s">
        <v>8</v>
      </c>
      <c r="AG25" s="21" t="s">
        <v>9</v>
      </c>
      <c r="AH25" s="106" t="s">
        <v>21</v>
      </c>
      <c r="AI25" s="107"/>
      <c r="AK25" s="20" t="s">
        <v>6</v>
      </c>
      <c r="AL25" s="20" t="s">
        <v>7</v>
      </c>
      <c r="AM25" s="20" t="s">
        <v>8</v>
      </c>
      <c r="AN25" s="21" t="s">
        <v>9</v>
      </c>
      <c r="AO25" s="106" t="s">
        <v>21</v>
      </c>
      <c r="AP25" s="107"/>
      <c r="AR25" s="20" t="s">
        <v>6</v>
      </c>
      <c r="AS25" s="20" t="s">
        <v>7</v>
      </c>
      <c r="AT25" s="20" t="s">
        <v>8</v>
      </c>
      <c r="AU25" s="21" t="s">
        <v>9</v>
      </c>
      <c r="AV25" s="106" t="s">
        <v>21</v>
      </c>
      <c r="AW25" s="107"/>
      <c r="AY25" s="20" t="s">
        <v>6</v>
      </c>
      <c r="AZ25" s="20" t="s">
        <v>7</v>
      </c>
      <c r="BA25" s="20" t="s">
        <v>8</v>
      </c>
      <c r="BB25" s="21" t="s">
        <v>9</v>
      </c>
      <c r="BC25" s="106" t="s">
        <v>21</v>
      </c>
      <c r="BD25" s="107"/>
      <c r="BF25" s="20" t="s">
        <v>6</v>
      </c>
      <c r="BG25" s="20" t="s">
        <v>7</v>
      </c>
      <c r="BH25" s="20" t="s">
        <v>8</v>
      </c>
      <c r="BI25" s="21" t="s">
        <v>9</v>
      </c>
      <c r="BJ25" s="106" t="s">
        <v>21</v>
      </c>
      <c r="BK25" s="107"/>
      <c r="BM25" s="52" t="s">
        <v>6</v>
      </c>
      <c r="BN25" s="52" t="s">
        <v>7</v>
      </c>
      <c r="BO25" s="52" t="s">
        <v>8</v>
      </c>
      <c r="BP25" s="53" t="s">
        <v>9</v>
      </c>
      <c r="BQ25" s="98" t="s">
        <v>21</v>
      </c>
      <c r="BR25" s="97"/>
      <c r="BT25" s="20" t="s">
        <v>6</v>
      </c>
      <c r="BU25" s="20" t="s">
        <v>7</v>
      </c>
      <c r="BV25" s="20" t="s">
        <v>8</v>
      </c>
      <c r="BW25" s="21" t="s">
        <v>9</v>
      </c>
      <c r="BX25" s="106" t="s">
        <v>21</v>
      </c>
      <c r="BY25" s="107"/>
      <c r="CA25" s="20" t="s">
        <v>6</v>
      </c>
      <c r="CB25" s="20" t="s">
        <v>7</v>
      </c>
      <c r="CC25" s="20" t="s">
        <v>8</v>
      </c>
      <c r="CD25" s="21" t="s">
        <v>9</v>
      </c>
      <c r="CE25" s="106" t="s">
        <v>21</v>
      </c>
      <c r="CF25" s="107"/>
      <c r="CH25" s="68" t="s">
        <v>6</v>
      </c>
      <c r="CI25" s="68" t="s">
        <v>7</v>
      </c>
      <c r="CJ25" s="69" t="s">
        <v>268</v>
      </c>
      <c r="CK25" s="69" t="s">
        <v>269</v>
      </c>
      <c r="CL25" s="69" t="s">
        <v>270</v>
      </c>
      <c r="CM25" s="76" t="s">
        <v>273</v>
      </c>
      <c r="CN25" s="69" t="s">
        <v>271</v>
      </c>
      <c r="CO25" s="69" t="s">
        <v>272</v>
      </c>
      <c r="CQ25" s="92" t="s">
        <v>291</v>
      </c>
      <c r="CR25" s="92" t="s">
        <v>292</v>
      </c>
    </row>
    <row r="26" spans="1:96" x14ac:dyDescent="0.2">
      <c r="A26" s="125" t="s">
        <v>11</v>
      </c>
      <c r="B26" s="9" t="s">
        <v>32</v>
      </c>
      <c r="C26" s="10" t="s">
        <v>13</v>
      </c>
      <c r="D26" s="11">
        <v>3500000</v>
      </c>
      <c r="E26" s="12">
        <f>(D26*19)/100</f>
        <v>665000</v>
      </c>
      <c r="F26" s="99">
        <f>D26+E26</f>
        <v>4165000</v>
      </c>
      <c r="G26" s="100"/>
      <c r="I26" s="9" t="s">
        <v>32</v>
      </c>
      <c r="J26" s="10" t="s">
        <v>13</v>
      </c>
      <c r="K26" s="11">
        <v>2950000</v>
      </c>
      <c r="L26" s="12">
        <v>0</v>
      </c>
      <c r="M26" s="114">
        <f>+K26+L26</f>
        <v>2950000</v>
      </c>
      <c r="N26" s="115"/>
      <c r="P26" s="9" t="s">
        <v>32</v>
      </c>
      <c r="Q26" s="10" t="s">
        <v>13</v>
      </c>
      <c r="R26" s="11">
        <v>2400000</v>
      </c>
      <c r="S26" s="12">
        <v>0</v>
      </c>
      <c r="T26" s="114">
        <f>R26+S26</f>
        <v>2400000</v>
      </c>
      <c r="U26" s="115"/>
      <c r="W26" s="9" t="s">
        <v>32</v>
      </c>
      <c r="X26" s="10" t="s">
        <v>13</v>
      </c>
      <c r="Y26" s="11">
        <v>387000000</v>
      </c>
      <c r="Z26" s="12">
        <v>0</v>
      </c>
      <c r="AA26" s="114">
        <f>+Y26/300</f>
        <v>1290000</v>
      </c>
      <c r="AB26" s="115"/>
      <c r="AD26" s="9" t="s">
        <v>32</v>
      </c>
      <c r="AE26" s="10" t="s">
        <v>13</v>
      </c>
      <c r="AF26" s="11">
        <v>2023419.2037470725</v>
      </c>
      <c r="AG26" s="12">
        <v>0</v>
      </c>
      <c r="AH26" s="114">
        <f>AF26+AG26</f>
        <v>2023419.2037470725</v>
      </c>
      <c r="AI26" s="115"/>
      <c r="AK26" s="9" t="s">
        <v>32</v>
      </c>
      <c r="AL26" s="10" t="s">
        <v>13</v>
      </c>
      <c r="AM26" s="11">
        <v>8400000</v>
      </c>
      <c r="AN26" s="12">
        <v>0</v>
      </c>
      <c r="AO26" s="99">
        <f>AM26+AN26</f>
        <v>8400000</v>
      </c>
      <c r="AP26" s="100"/>
      <c r="AR26" s="9" t="s">
        <v>32</v>
      </c>
      <c r="AS26" s="10" t="s">
        <v>13</v>
      </c>
      <c r="AT26" s="11">
        <v>2100000</v>
      </c>
      <c r="AU26" s="12">
        <v>0</v>
      </c>
      <c r="AV26" s="99">
        <f>AT26+AU26</f>
        <v>2100000</v>
      </c>
      <c r="AW26" s="100"/>
      <c r="AY26" s="9" t="s">
        <v>32</v>
      </c>
      <c r="AZ26" s="10" t="s">
        <v>13</v>
      </c>
      <c r="BA26" s="11">
        <v>2677200</v>
      </c>
      <c r="BB26" s="12">
        <v>508668</v>
      </c>
      <c r="BC26" s="99">
        <v>3185868</v>
      </c>
      <c r="BD26" s="100"/>
      <c r="BF26" s="9" t="s">
        <v>32</v>
      </c>
      <c r="BG26" s="10" t="s">
        <v>13</v>
      </c>
      <c r="BH26" s="11">
        <v>3900000</v>
      </c>
      <c r="BI26" s="12">
        <v>0</v>
      </c>
      <c r="BJ26" s="99">
        <f>BH26+BI26</f>
        <v>3900000</v>
      </c>
      <c r="BK26" s="100"/>
      <c r="BM26" s="54" t="s">
        <v>32</v>
      </c>
      <c r="BN26" s="55" t="s">
        <v>13</v>
      </c>
      <c r="BO26" s="56">
        <v>3000000</v>
      </c>
      <c r="BP26" s="57">
        <v>0</v>
      </c>
      <c r="BQ26" s="93">
        <f t="shared" ref="BQ26:BQ29" si="45">BO26+BP26</f>
        <v>3000000</v>
      </c>
      <c r="BR26" s="94"/>
      <c r="BT26" s="9" t="s">
        <v>32</v>
      </c>
      <c r="BU26" s="10" t="s">
        <v>13</v>
      </c>
      <c r="BV26" s="11">
        <v>2500000</v>
      </c>
      <c r="BW26" s="12">
        <v>0</v>
      </c>
      <c r="BX26" s="99">
        <f>BV26+BW26</f>
        <v>2500000</v>
      </c>
      <c r="BY26" s="100"/>
      <c r="CA26" s="9" t="s">
        <v>32</v>
      </c>
      <c r="CB26" s="10" t="s">
        <v>13</v>
      </c>
      <c r="CC26" s="11">
        <v>3067222.2222222164</v>
      </c>
      <c r="CD26" s="12">
        <f>CC26*0.19</f>
        <v>582772.22222222108</v>
      </c>
      <c r="CE26" s="99">
        <f>CC26+CD26</f>
        <v>3649994.4444444375</v>
      </c>
      <c r="CF26" s="100"/>
      <c r="CH26" s="70" t="s">
        <v>32</v>
      </c>
      <c r="CI26" s="71" t="s">
        <v>13</v>
      </c>
      <c r="CJ26" s="72">
        <f>+MAX(F26,M26,T26,AA26,AH26,AO26,AV26,BC26,BJ26,BQ26,BX26,CE26)</f>
        <v>8400000</v>
      </c>
      <c r="CK26" s="72">
        <f>+MIN(F26,M26,T26,AA26,AH26,AO26,AV26,BC26,BJ26,BQ26,BX26,CE26)</f>
        <v>1290000</v>
      </c>
      <c r="CL26" s="72">
        <f>+AVERAGE(F26,M26,T26,AA26,AH26,AO26,AV26,BC26,BJ26,BQ26,BX26,CE26)</f>
        <v>3297023.4706826261</v>
      </c>
      <c r="CM26" s="72">
        <f>+TRIMMEAN((F26,M26,T26,AA26,AH26,AO26,AV26,BC26,BJ26,BQ26,BX26,CE26),(2/12))</f>
        <v>2987428.1648191507</v>
      </c>
      <c r="CN26" s="72">
        <f>+MEDIAN(F26,M26,T26,AA26,AH26,AO26,AV26,BC26,BJ26,BQ26,BX26,CE26)</f>
        <v>2975000</v>
      </c>
      <c r="CO26" s="86" t="str">
        <f>IFERROR(MODE(F26,M26,T26,AA26,AH26,AO26,AV26,BC26,BJ26,BQ26,BX26,CE26),"N/A")</f>
        <v>N/A</v>
      </c>
      <c r="CP26" s="89">
        <f>+STDEV(F26,M26,T26,AA26,AH26,AO26,AV26,BC26,BJ26,BQ26,BX26,CE26)/CL26</f>
        <v>0.54889469680873881</v>
      </c>
      <c r="CQ26" t="s">
        <v>176</v>
      </c>
      <c r="CR26" t="s">
        <v>165</v>
      </c>
    </row>
    <row r="27" spans="1:96" x14ac:dyDescent="0.2">
      <c r="A27" s="126"/>
      <c r="B27" s="9" t="s">
        <v>33</v>
      </c>
      <c r="C27" s="13" t="s">
        <v>15</v>
      </c>
      <c r="D27" s="11">
        <v>3300000</v>
      </c>
      <c r="E27" s="12">
        <f t="shared" ref="E27:E29" si="46">(D27*19)/100</f>
        <v>627000</v>
      </c>
      <c r="F27" s="99">
        <f t="shared" ref="F27:F29" si="47">D27+E27</f>
        <v>3927000</v>
      </c>
      <c r="G27" s="100"/>
      <c r="I27" s="9" t="s">
        <v>33</v>
      </c>
      <c r="J27" s="13" t="s">
        <v>15</v>
      </c>
      <c r="K27" s="11">
        <v>2750000</v>
      </c>
      <c r="L27" s="12">
        <v>0</v>
      </c>
      <c r="M27" s="114">
        <f t="shared" ref="M27:M29" si="48">+K27+L27</f>
        <v>2750000</v>
      </c>
      <c r="N27" s="115"/>
      <c r="P27" s="9" t="s">
        <v>33</v>
      </c>
      <c r="Q27" s="13" t="s">
        <v>15</v>
      </c>
      <c r="R27" s="11">
        <f>2280000</f>
        <v>2280000</v>
      </c>
      <c r="S27" s="12">
        <v>0</v>
      </c>
      <c r="T27" s="114">
        <f t="shared" ref="T27:T29" si="49">R27+S27</f>
        <v>2280000</v>
      </c>
      <c r="U27" s="115"/>
      <c r="W27" s="9" t="s">
        <v>33</v>
      </c>
      <c r="X27" s="13" t="s">
        <v>15</v>
      </c>
      <c r="Y27" s="11">
        <v>466000000</v>
      </c>
      <c r="Z27" s="12">
        <v>0</v>
      </c>
      <c r="AA27" s="114">
        <f>+Y27/400</f>
        <v>1165000</v>
      </c>
      <c r="AB27" s="115"/>
      <c r="AD27" s="9" t="s">
        <v>33</v>
      </c>
      <c r="AE27" s="13" t="s">
        <v>15</v>
      </c>
      <c r="AF27" s="11">
        <v>2003385.3502446262</v>
      </c>
      <c r="AG27" s="12">
        <v>0</v>
      </c>
      <c r="AH27" s="114">
        <f t="shared" ref="AH27:AH29" si="50">AF27+AG27</f>
        <v>2003385.3502446262</v>
      </c>
      <c r="AI27" s="115"/>
      <c r="AK27" s="9" t="s">
        <v>33</v>
      </c>
      <c r="AL27" s="13" t="s">
        <v>15</v>
      </c>
      <c r="AM27" s="11">
        <v>7725000</v>
      </c>
      <c r="AN27" s="12">
        <v>0</v>
      </c>
      <c r="AO27" s="99">
        <f t="shared" ref="AO27:AO29" si="51">AM27+AN27</f>
        <v>7725000</v>
      </c>
      <c r="AP27" s="100"/>
      <c r="AR27" s="9" t="s">
        <v>33</v>
      </c>
      <c r="AS27" s="13" t="s">
        <v>15</v>
      </c>
      <c r="AT27" s="11">
        <v>1728000</v>
      </c>
      <c r="AU27" s="12">
        <v>0</v>
      </c>
      <c r="AV27" s="99">
        <f t="shared" ref="AV27:AV29" si="52">AT27+AU27</f>
        <v>1728000</v>
      </c>
      <c r="AW27" s="100"/>
      <c r="AY27" s="9" t="s">
        <v>33</v>
      </c>
      <c r="AZ27" s="13" t="s">
        <v>15</v>
      </c>
      <c r="BA27" s="11">
        <v>2563200</v>
      </c>
      <c r="BB27" s="12">
        <v>487008</v>
      </c>
      <c r="BC27" s="99">
        <v>3050208</v>
      </c>
      <c r="BD27" s="100"/>
      <c r="BF27" s="9" t="s">
        <v>33</v>
      </c>
      <c r="BG27" s="13" t="s">
        <v>15</v>
      </c>
      <c r="BH27" s="11">
        <v>3480000</v>
      </c>
      <c r="BI27" s="12">
        <v>0</v>
      </c>
      <c r="BJ27" s="99">
        <f>BH27+BI27</f>
        <v>3480000</v>
      </c>
      <c r="BK27" s="100"/>
      <c r="BM27" s="54" t="s">
        <v>33</v>
      </c>
      <c r="BN27" s="58" t="s">
        <v>15</v>
      </c>
      <c r="BO27" s="56">
        <v>3000000</v>
      </c>
      <c r="BP27" s="57">
        <v>0</v>
      </c>
      <c r="BQ27" s="93">
        <f t="shared" si="45"/>
        <v>3000000</v>
      </c>
      <c r="BR27" s="94"/>
      <c r="BT27" s="9" t="s">
        <v>33</v>
      </c>
      <c r="BU27" s="13" t="s">
        <v>15</v>
      </c>
      <c r="BV27" s="11">
        <v>2200000</v>
      </c>
      <c r="BW27" s="12">
        <v>0</v>
      </c>
      <c r="BX27" s="99">
        <f t="shared" ref="BX27:BX29" si="53">BV27+BW27</f>
        <v>2200000</v>
      </c>
      <c r="BY27" s="100"/>
      <c r="CA27" s="9" t="s">
        <v>33</v>
      </c>
      <c r="CB27" s="13" t="s">
        <v>15</v>
      </c>
      <c r="CC27" s="11">
        <v>3067222.2222222164</v>
      </c>
      <c r="CD27" s="12">
        <f>CC27*0.19</f>
        <v>582772.22222222108</v>
      </c>
      <c r="CE27" s="99">
        <f t="shared" ref="CE27:CE29" si="54">CC27+CD27</f>
        <v>3649994.4444444375</v>
      </c>
      <c r="CF27" s="100"/>
      <c r="CH27" s="70" t="s">
        <v>33</v>
      </c>
      <c r="CI27" s="71" t="s">
        <v>15</v>
      </c>
      <c r="CJ27" s="72">
        <f t="shared" ref="CJ27:CJ29" si="55">+MAX(F27,M27,T27,AA27,AH27,AO27,AV27,BC27,BJ27,BQ27,BX27,CE27)</f>
        <v>7725000</v>
      </c>
      <c r="CK27" s="72">
        <f t="shared" ref="CK27:CK29" si="56">+MIN(F27,M27,T27,AA27,AH27,AO27,AV27,BC27,BJ27,BQ27,BX27,CE27)</f>
        <v>1165000</v>
      </c>
      <c r="CL27" s="72">
        <f t="shared" ref="CL27:CL29" si="57">+AVERAGE(F27,M27,T27,AA27,AH27,AO27,AV27,BC27,BJ27,BQ27,BX27,CE27)</f>
        <v>3079882.3162240889</v>
      </c>
      <c r="CM27" s="72">
        <f>+TRIMMEAN((F27,M27,T27,AA27,AH27,AO27,AV27,BC27,BJ27,BQ27,BX27,CE27),(2/12))</f>
        <v>2806858.7794689061</v>
      </c>
      <c r="CN27" s="72">
        <f t="shared" ref="CN27:CN29" si="58">+MEDIAN(F27,M27,T27,AA27,AH27,AO27,AV27,BC27,BJ27,BQ27,BX27,CE27)</f>
        <v>2875000</v>
      </c>
      <c r="CO27" s="86" t="str">
        <f t="shared" ref="CO27:CO29" si="59">IFERROR(MODE(F27,M27,T27,AA27,AH27,AO27,AV27,BC27,BJ27,BQ27,BX27,CE27),"N/A")</f>
        <v>N/A</v>
      </c>
      <c r="CP27" s="89">
        <f>+STDEV(F27,M27,T27,AA27,AH27,AO27,AV27,BC27,BJ27,BQ27,BX27,CE27)/CL27</f>
        <v>0.54474349847996595</v>
      </c>
      <c r="CQ27" t="s">
        <v>176</v>
      </c>
      <c r="CR27" t="s">
        <v>165</v>
      </c>
    </row>
    <row r="28" spans="1:96" ht="17" customHeight="1" x14ac:dyDescent="0.2">
      <c r="A28" s="126"/>
      <c r="B28" s="9" t="s">
        <v>34</v>
      </c>
      <c r="C28" s="13" t="s">
        <v>17</v>
      </c>
      <c r="D28" s="11">
        <v>3200000</v>
      </c>
      <c r="E28" s="12">
        <f t="shared" si="46"/>
        <v>608000</v>
      </c>
      <c r="F28" s="99">
        <f t="shared" si="47"/>
        <v>3808000</v>
      </c>
      <c r="G28" s="100"/>
      <c r="I28" s="9" t="s">
        <v>34</v>
      </c>
      <c r="J28" s="13" t="s">
        <v>17</v>
      </c>
      <c r="K28" s="11">
        <v>2590000</v>
      </c>
      <c r="L28" s="12">
        <v>0</v>
      </c>
      <c r="M28" s="114">
        <f t="shared" si="48"/>
        <v>2590000</v>
      </c>
      <c r="N28" s="115"/>
      <c r="P28" s="9" t="s">
        <v>34</v>
      </c>
      <c r="Q28" s="13" t="s">
        <v>17</v>
      </c>
      <c r="R28" s="11">
        <f>2166000</f>
        <v>2166000</v>
      </c>
      <c r="S28" s="12">
        <v>0</v>
      </c>
      <c r="T28" s="114">
        <f t="shared" si="49"/>
        <v>2166000</v>
      </c>
      <c r="U28" s="115"/>
      <c r="W28" s="9" t="s">
        <v>34</v>
      </c>
      <c r="X28" s="13" t="s">
        <v>17</v>
      </c>
      <c r="Y28" s="11">
        <v>575000000</v>
      </c>
      <c r="Z28" s="12">
        <v>0</v>
      </c>
      <c r="AA28" s="114">
        <f>+Y28/500</f>
        <v>1150000</v>
      </c>
      <c r="AB28" s="115"/>
      <c r="AD28" s="9" t="s">
        <v>34</v>
      </c>
      <c r="AE28" s="13" t="s">
        <v>17</v>
      </c>
      <c r="AF28" s="11">
        <v>1983744.3173990906</v>
      </c>
      <c r="AG28" s="12">
        <v>0</v>
      </c>
      <c r="AH28" s="114">
        <f t="shared" si="50"/>
        <v>1983744.3173990906</v>
      </c>
      <c r="AI28" s="115"/>
      <c r="AK28" s="9" t="s">
        <v>34</v>
      </c>
      <c r="AL28" s="13" t="s">
        <v>17</v>
      </c>
      <c r="AM28" s="11">
        <v>7350000</v>
      </c>
      <c r="AN28" s="12">
        <v>0</v>
      </c>
      <c r="AO28" s="99">
        <f t="shared" si="51"/>
        <v>7350000</v>
      </c>
      <c r="AP28" s="100"/>
      <c r="AR28" s="9" t="s">
        <v>34</v>
      </c>
      <c r="AS28" s="13" t="s">
        <v>17</v>
      </c>
      <c r="AT28" s="11">
        <v>1400000</v>
      </c>
      <c r="AU28" s="12">
        <v>0</v>
      </c>
      <c r="AV28" s="99">
        <f t="shared" si="52"/>
        <v>1400000</v>
      </c>
      <c r="AW28" s="100"/>
      <c r="AY28" s="9" t="s">
        <v>34</v>
      </c>
      <c r="AZ28" s="13" t="s">
        <v>17</v>
      </c>
      <c r="BA28" s="11">
        <v>2552400</v>
      </c>
      <c r="BB28" s="12">
        <v>484956</v>
      </c>
      <c r="BC28" s="99">
        <v>3037356</v>
      </c>
      <c r="BD28" s="100"/>
      <c r="BF28" s="9" t="s">
        <v>34</v>
      </c>
      <c r="BG28" s="13" t="s">
        <v>17</v>
      </c>
      <c r="BH28" s="11">
        <v>3270000</v>
      </c>
      <c r="BI28" s="12">
        <v>0</v>
      </c>
      <c r="BJ28" s="99">
        <f>BH28+BI28</f>
        <v>3270000</v>
      </c>
      <c r="BK28" s="100"/>
      <c r="BM28" s="54" t="s">
        <v>34</v>
      </c>
      <c r="BN28" s="58" t="s">
        <v>17</v>
      </c>
      <c r="BO28" s="56">
        <v>3000000</v>
      </c>
      <c r="BP28" s="57">
        <v>0</v>
      </c>
      <c r="BQ28" s="93">
        <f t="shared" si="45"/>
        <v>3000000</v>
      </c>
      <c r="BR28" s="94"/>
      <c r="BT28" s="9" t="s">
        <v>34</v>
      </c>
      <c r="BU28" s="13" t="s">
        <v>17</v>
      </c>
      <c r="BV28" s="11">
        <v>2000000</v>
      </c>
      <c r="BW28" s="12">
        <v>0</v>
      </c>
      <c r="BX28" s="99">
        <f t="shared" si="53"/>
        <v>2000000</v>
      </c>
      <c r="BY28" s="100"/>
      <c r="CA28" s="9" t="s">
        <v>34</v>
      </c>
      <c r="CB28" s="13" t="s">
        <v>17</v>
      </c>
      <c r="CC28" s="11">
        <v>3067222.2222222164</v>
      </c>
      <c r="CD28" s="12">
        <f>CC28*0.19</f>
        <v>582772.22222222108</v>
      </c>
      <c r="CE28" s="99">
        <f t="shared" si="54"/>
        <v>3649994.4444444375</v>
      </c>
      <c r="CF28" s="100"/>
      <c r="CH28" s="70" t="s">
        <v>34</v>
      </c>
      <c r="CI28" s="71" t="s">
        <v>17</v>
      </c>
      <c r="CJ28" s="72">
        <f t="shared" si="55"/>
        <v>7350000</v>
      </c>
      <c r="CK28" s="72">
        <f t="shared" si="56"/>
        <v>1150000</v>
      </c>
      <c r="CL28" s="72">
        <f t="shared" si="57"/>
        <v>2950424.5634869612</v>
      </c>
      <c r="CM28" s="72">
        <f>+TRIMMEAN((F28,M28,T28,AA28,AH28,AO28,AV28,BC28,BJ28,BQ28,BX28,CE28),(2/12))</f>
        <v>2690509.4761843528</v>
      </c>
      <c r="CN28" s="72">
        <f t="shared" si="58"/>
        <v>2795000</v>
      </c>
      <c r="CO28" s="86" t="str">
        <f t="shared" si="59"/>
        <v>N/A</v>
      </c>
      <c r="CP28" s="89">
        <f>+STDEV(F28,M28,T28,AA28,AH28,AO28,AV28,BC28,BJ28,BQ28,BX28,CE28)/CL28</f>
        <v>0.54957913190094565</v>
      </c>
      <c r="CQ28" t="s">
        <v>176</v>
      </c>
      <c r="CR28" t="s">
        <v>165</v>
      </c>
    </row>
    <row r="29" spans="1:96" ht="17" customHeight="1" thickBot="1" x14ac:dyDescent="0.25">
      <c r="A29" s="127"/>
      <c r="B29" s="9" t="s">
        <v>35</v>
      </c>
      <c r="C29" s="14" t="s">
        <v>19</v>
      </c>
      <c r="D29" s="11">
        <v>2895000</v>
      </c>
      <c r="E29" s="12">
        <f t="shared" si="46"/>
        <v>550050</v>
      </c>
      <c r="F29" s="99">
        <f t="shared" si="47"/>
        <v>3445050</v>
      </c>
      <c r="G29" s="100"/>
      <c r="I29" s="9" t="s">
        <v>35</v>
      </c>
      <c r="J29" s="14" t="s">
        <v>19</v>
      </c>
      <c r="K29" s="11">
        <v>2500000</v>
      </c>
      <c r="L29" s="12">
        <v>0</v>
      </c>
      <c r="M29" s="114">
        <f t="shared" si="48"/>
        <v>2500000</v>
      </c>
      <c r="N29" s="115"/>
      <c r="P29" s="9" t="s">
        <v>35</v>
      </c>
      <c r="Q29" s="14" t="s">
        <v>19</v>
      </c>
      <c r="R29" s="11">
        <f>2057000</f>
        <v>2057000</v>
      </c>
      <c r="S29" s="12">
        <v>0</v>
      </c>
      <c r="T29" s="114">
        <f t="shared" si="49"/>
        <v>2057000</v>
      </c>
      <c r="U29" s="115"/>
      <c r="W29" s="9" t="s">
        <v>35</v>
      </c>
      <c r="X29" s="14" t="s">
        <v>19</v>
      </c>
      <c r="Y29" s="11">
        <v>575000000</v>
      </c>
      <c r="Z29" s="12">
        <v>0</v>
      </c>
      <c r="AA29" s="114">
        <f>+Y29/500</f>
        <v>1150000</v>
      </c>
      <c r="AB29" s="115"/>
      <c r="AD29" s="9" t="s">
        <v>35</v>
      </c>
      <c r="AE29" s="14" t="s">
        <v>19</v>
      </c>
      <c r="AF29" s="11">
        <v>1964484.6638321092</v>
      </c>
      <c r="AG29" s="12">
        <v>0</v>
      </c>
      <c r="AH29" s="114">
        <f t="shared" si="50"/>
        <v>1964484.6638321092</v>
      </c>
      <c r="AI29" s="115"/>
      <c r="AK29" s="9" t="s">
        <v>35</v>
      </c>
      <c r="AL29" s="14" t="s">
        <v>179</v>
      </c>
      <c r="AM29" s="11">
        <v>6790000</v>
      </c>
      <c r="AN29" s="12">
        <v>0</v>
      </c>
      <c r="AO29" s="99">
        <f t="shared" si="51"/>
        <v>6790000</v>
      </c>
      <c r="AP29" s="100"/>
      <c r="AR29" s="9" t="s">
        <v>35</v>
      </c>
      <c r="AS29" s="14" t="s">
        <v>19</v>
      </c>
      <c r="AT29" s="11">
        <v>1200000</v>
      </c>
      <c r="AU29" s="12">
        <v>0</v>
      </c>
      <c r="AV29" s="99">
        <f t="shared" si="52"/>
        <v>1200000</v>
      </c>
      <c r="AW29" s="100"/>
      <c r="AY29" s="9" t="s">
        <v>35</v>
      </c>
      <c r="AZ29" s="14" t="s">
        <v>19</v>
      </c>
      <c r="BA29" s="11">
        <v>2538000</v>
      </c>
      <c r="BB29" s="12">
        <v>482220</v>
      </c>
      <c r="BC29" s="99">
        <v>3020220</v>
      </c>
      <c r="BD29" s="100"/>
      <c r="BF29" s="9" t="s">
        <v>35</v>
      </c>
      <c r="BG29" s="14" t="s">
        <v>19</v>
      </c>
      <c r="BH29" s="11">
        <v>3100000</v>
      </c>
      <c r="BI29" s="12">
        <v>0</v>
      </c>
      <c r="BJ29" s="99">
        <f>BH29+BI29</f>
        <v>3100000</v>
      </c>
      <c r="BK29" s="100"/>
      <c r="BM29" s="54" t="s">
        <v>35</v>
      </c>
      <c r="BN29" s="59" t="s">
        <v>19</v>
      </c>
      <c r="BO29" s="56">
        <v>3000000</v>
      </c>
      <c r="BP29" s="57">
        <v>0</v>
      </c>
      <c r="BQ29" s="93">
        <f t="shared" si="45"/>
        <v>3000000</v>
      </c>
      <c r="BR29" s="94"/>
      <c r="BT29" s="9" t="s">
        <v>35</v>
      </c>
      <c r="BU29" s="14" t="s">
        <v>19</v>
      </c>
      <c r="BV29" s="11">
        <v>2000000</v>
      </c>
      <c r="BW29" s="12">
        <v>0</v>
      </c>
      <c r="BX29" s="99">
        <f t="shared" si="53"/>
        <v>2000000</v>
      </c>
      <c r="BY29" s="100"/>
      <c r="CA29" s="9" t="s">
        <v>35</v>
      </c>
      <c r="CB29" s="14" t="s">
        <v>19</v>
      </c>
      <c r="CC29" s="11">
        <v>2002222.2222222167</v>
      </c>
      <c r="CD29" s="12">
        <f>CC29*0.19</f>
        <v>380422.22222222114</v>
      </c>
      <c r="CE29" s="99">
        <f t="shared" si="54"/>
        <v>2382644.444444438</v>
      </c>
      <c r="CF29" s="100"/>
      <c r="CH29" s="70" t="s">
        <v>35</v>
      </c>
      <c r="CI29" s="71" t="s">
        <v>19</v>
      </c>
      <c r="CJ29" s="72">
        <f t="shared" si="55"/>
        <v>6790000</v>
      </c>
      <c r="CK29" s="72">
        <f t="shared" si="56"/>
        <v>1150000</v>
      </c>
      <c r="CL29" s="72">
        <f t="shared" si="57"/>
        <v>2717449.9256897122</v>
      </c>
      <c r="CM29" s="72">
        <f>+TRIMMEAN((F29,M29,T29,AA29,AH29,AO29,AV29,BC29,BJ29,BQ29,BX29,CE29),(2/12))</f>
        <v>2466939.9108276544</v>
      </c>
      <c r="CN29" s="72">
        <f t="shared" si="58"/>
        <v>2441322.2222222192</v>
      </c>
      <c r="CO29" s="86" t="str">
        <f t="shared" si="59"/>
        <v>N/A</v>
      </c>
      <c r="CP29" s="89">
        <f>+STDEV(F29,M29,T29,AA29,AH29,AO29,AV29,BC29,BJ29,BQ29,BX29,CE29)/CL29</f>
        <v>0.54208312163550354</v>
      </c>
      <c r="CQ29" t="s">
        <v>176</v>
      </c>
      <c r="CR29" t="s">
        <v>165</v>
      </c>
    </row>
    <row r="30" spans="1:96" ht="46" customHeight="1" thickBot="1" x14ac:dyDescent="0.25">
      <c r="A30" s="1" t="s">
        <v>1</v>
      </c>
      <c r="B30" s="103" t="s">
        <v>36</v>
      </c>
      <c r="C30" s="104"/>
      <c r="D30" s="104"/>
      <c r="E30" s="105"/>
      <c r="F30" s="18" t="s">
        <v>3</v>
      </c>
      <c r="G30" s="19" t="s">
        <v>27</v>
      </c>
      <c r="I30" s="15" t="s">
        <v>36</v>
      </c>
      <c r="J30" s="16"/>
      <c r="K30" s="16"/>
      <c r="L30" s="17"/>
      <c r="M30" s="18" t="s">
        <v>3</v>
      </c>
      <c r="N30" s="19" t="s">
        <v>27</v>
      </c>
      <c r="P30" s="103" t="s">
        <v>36</v>
      </c>
      <c r="Q30" s="104"/>
      <c r="R30" s="104"/>
      <c r="S30" s="105"/>
      <c r="T30" s="18" t="s">
        <v>3</v>
      </c>
      <c r="U30" s="19" t="s">
        <v>27</v>
      </c>
      <c r="W30" s="15" t="s">
        <v>36</v>
      </c>
      <c r="X30" s="16"/>
      <c r="Y30" s="16"/>
      <c r="Z30" s="17"/>
      <c r="AA30" s="18" t="s">
        <v>3</v>
      </c>
      <c r="AB30" s="19" t="s">
        <v>27</v>
      </c>
      <c r="AD30" s="103" t="s">
        <v>36</v>
      </c>
      <c r="AE30" s="104"/>
      <c r="AF30" s="104"/>
      <c r="AG30" s="105"/>
      <c r="AH30" s="18" t="s">
        <v>3</v>
      </c>
      <c r="AI30" s="19" t="s">
        <v>27</v>
      </c>
      <c r="AK30" s="103"/>
      <c r="AL30" s="104"/>
      <c r="AM30" s="104"/>
      <c r="AN30" s="105"/>
      <c r="AO30" s="18" t="s">
        <v>3</v>
      </c>
      <c r="AP30" s="19" t="s">
        <v>27</v>
      </c>
      <c r="AR30" s="103" t="s">
        <v>36</v>
      </c>
      <c r="AS30" s="104"/>
      <c r="AT30" s="104"/>
      <c r="AU30" s="105"/>
      <c r="AV30" s="18" t="s">
        <v>3</v>
      </c>
      <c r="AW30" s="19" t="s">
        <v>27</v>
      </c>
      <c r="AY30" s="103" t="s">
        <v>36</v>
      </c>
      <c r="AZ30" s="104"/>
      <c r="BA30" s="104"/>
      <c r="BB30" s="105"/>
      <c r="BC30" s="18" t="s">
        <v>3</v>
      </c>
      <c r="BD30" s="19" t="s">
        <v>27</v>
      </c>
      <c r="BF30" s="103" t="s">
        <v>36</v>
      </c>
      <c r="BG30" s="104"/>
      <c r="BH30" s="104"/>
      <c r="BI30" s="105"/>
      <c r="BJ30" s="18" t="s">
        <v>3</v>
      </c>
      <c r="BK30" s="19" t="s">
        <v>27</v>
      </c>
      <c r="BM30" s="95" t="s">
        <v>36</v>
      </c>
      <c r="BN30" s="96"/>
      <c r="BO30" s="96"/>
      <c r="BP30" s="97"/>
      <c r="BQ30" s="60" t="s">
        <v>3</v>
      </c>
      <c r="BR30" s="61" t="s">
        <v>27</v>
      </c>
      <c r="BT30" s="103" t="s">
        <v>36</v>
      </c>
      <c r="BU30" s="104"/>
      <c r="BV30" s="104"/>
      <c r="BW30" s="105"/>
      <c r="BX30" s="18" t="s">
        <v>3</v>
      </c>
      <c r="BY30" s="19" t="s">
        <v>27</v>
      </c>
      <c r="CA30" s="103" t="s">
        <v>36</v>
      </c>
      <c r="CB30" s="104"/>
      <c r="CC30" s="104"/>
      <c r="CD30" s="105"/>
      <c r="CE30" s="18" t="s">
        <v>3</v>
      </c>
      <c r="CF30" s="19" t="s">
        <v>27</v>
      </c>
    </row>
    <row r="31" spans="1:96" ht="46" thickBot="1" x14ac:dyDescent="0.25">
      <c r="A31" s="3" t="s">
        <v>5</v>
      </c>
      <c r="B31" s="20" t="s">
        <v>6</v>
      </c>
      <c r="C31" s="20" t="s">
        <v>7</v>
      </c>
      <c r="D31" s="20" t="s">
        <v>8</v>
      </c>
      <c r="E31" s="21" t="s">
        <v>9</v>
      </c>
      <c r="F31" s="106" t="s">
        <v>21</v>
      </c>
      <c r="G31" s="107"/>
      <c r="I31" s="20" t="s">
        <v>6</v>
      </c>
      <c r="J31" s="20" t="s">
        <v>7</v>
      </c>
      <c r="K31" s="20" t="s">
        <v>8</v>
      </c>
      <c r="L31" s="21" t="s">
        <v>9</v>
      </c>
      <c r="M31" s="22" t="s">
        <v>21</v>
      </c>
      <c r="N31" s="23"/>
      <c r="P31" s="20" t="s">
        <v>6</v>
      </c>
      <c r="Q31" s="20" t="s">
        <v>7</v>
      </c>
      <c r="R31" s="20" t="s">
        <v>8</v>
      </c>
      <c r="S31" s="21" t="s">
        <v>9</v>
      </c>
      <c r="T31" s="106" t="s">
        <v>21</v>
      </c>
      <c r="U31" s="107"/>
      <c r="W31" s="20" t="s">
        <v>6</v>
      </c>
      <c r="X31" s="20" t="s">
        <v>7</v>
      </c>
      <c r="Y31" s="20" t="s">
        <v>8</v>
      </c>
      <c r="Z31" s="21" t="s">
        <v>9</v>
      </c>
      <c r="AA31" s="22" t="s">
        <v>21</v>
      </c>
      <c r="AB31" s="23"/>
      <c r="AD31" s="20" t="s">
        <v>6</v>
      </c>
      <c r="AE31" s="20" t="s">
        <v>7</v>
      </c>
      <c r="AF31" s="20" t="s">
        <v>8</v>
      </c>
      <c r="AG31" s="21" t="s">
        <v>9</v>
      </c>
      <c r="AH31" s="106" t="s">
        <v>21</v>
      </c>
      <c r="AI31" s="107"/>
      <c r="AK31" s="20" t="s">
        <v>6</v>
      </c>
      <c r="AL31" s="20" t="s">
        <v>7</v>
      </c>
      <c r="AM31" s="20" t="s">
        <v>8</v>
      </c>
      <c r="AN31" s="21" t="s">
        <v>9</v>
      </c>
      <c r="AO31" s="106" t="s">
        <v>21</v>
      </c>
      <c r="AP31" s="107"/>
      <c r="AR31" s="20" t="s">
        <v>6</v>
      </c>
      <c r="AS31" s="20" t="s">
        <v>7</v>
      </c>
      <c r="AT31" s="20" t="s">
        <v>8</v>
      </c>
      <c r="AU31" s="21" t="s">
        <v>9</v>
      </c>
      <c r="AV31" s="106" t="s">
        <v>21</v>
      </c>
      <c r="AW31" s="107"/>
      <c r="AY31" s="20" t="s">
        <v>6</v>
      </c>
      <c r="AZ31" s="20" t="s">
        <v>7</v>
      </c>
      <c r="BA31" s="20" t="s">
        <v>8</v>
      </c>
      <c r="BB31" s="21" t="s">
        <v>9</v>
      </c>
      <c r="BC31" s="106" t="s">
        <v>21</v>
      </c>
      <c r="BD31" s="107"/>
      <c r="BF31" s="20" t="s">
        <v>6</v>
      </c>
      <c r="BG31" s="20" t="s">
        <v>7</v>
      </c>
      <c r="BH31" s="20" t="s">
        <v>8</v>
      </c>
      <c r="BI31" s="21" t="s">
        <v>9</v>
      </c>
      <c r="BJ31" s="106" t="s">
        <v>21</v>
      </c>
      <c r="BK31" s="107"/>
      <c r="BM31" s="52" t="s">
        <v>6</v>
      </c>
      <c r="BN31" s="52" t="s">
        <v>7</v>
      </c>
      <c r="BO31" s="52" t="s">
        <v>8</v>
      </c>
      <c r="BP31" s="53" t="s">
        <v>9</v>
      </c>
      <c r="BQ31" s="98" t="s">
        <v>21</v>
      </c>
      <c r="BR31" s="97"/>
      <c r="BT31" s="20" t="s">
        <v>6</v>
      </c>
      <c r="BU31" s="20" t="s">
        <v>7</v>
      </c>
      <c r="BV31" s="20" t="s">
        <v>8</v>
      </c>
      <c r="BW31" s="21" t="s">
        <v>9</v>
      </c>
      <c r="BX31" s="106" t="s">
        <v>21</v>
      </c>
      <c r="BY31" s="107"/>
      <c r="CA31" s="20" t="s">
        <v>6</v>
      </c>
      <c r="CB31" s="20" t="s">
        <v>7</v>
      </c>
      <c r="CC31" s="20" t="s">
        <v>8</v>
      </c>
      <c r="CD31" s="21" t="s">
        <v>9</v>
      </c>
      <c r="CE31" s="106" t="s">
        <v>21</v>
      </c>
      <c r="CF31" s="107"/>
      <c r="CH31" s="68" t="s">
        <v>6</v>
      </c>
      <c r="CI31" s="68" t="s">
        <v>7</v>
      </c>
      <c r="CJ31" s="69" t="s">
        <v>268</v>
      </c>
      <c r="CK31" s="69" t="s">
        <v>269</v>
      </c>
      <c r="CL31" s="69" t="s">
        <v>270</v>
      </c>
      <c r="CM31" s="76" t="s">
        <v>273</v>
      </c>
      <c r="CN31" s="69" t="s">
        <v>271</v>
      </c>
      <c r="CO31" s="69" t="s">
        <v>272</v>
      </c>
      <c r="CQ31" s="92" t="s">
        <v>291</v>
      </c>
      <c r="CR31" s="92" t="s">
        <v>292</v>
      </c>
    </row>
    <row r="32" spans="1:96" x14ac:dyDescent="0.2">
      <c r="A32" s="125" t="s">
        <v>11</v>
      </c>
      <c r="B32" s="9" t="s">
        <v>37</v>
      </c>
      <c r="C32" s="10" t="s">
        <v>13</v>
      </c>
      <c r="D32" s="11">
        <v>3500000</v>
      </c>
      <c r="E32" s="12">
        <f>(D32*19)/100</f>
        <v>665000</v>
      </c>
      <c r="F32" s="99">
        <f>D32+E32</f>
        <v>4165000</v>
      </c>
      <c r="G32" s="100"/>
      <c r="I32" s="9" t="s">
        <v>37</v>
      </c>
      <c r="J32" s="10" t="s">
        <v>13</v>
      </c>
      <c r="K32" s="11">
        <v>2950000</v>
      </c>
      <c r="L32" s="12">
        <v>0</v>
      </c>
      <c r="M32" s="114">
        <f>+K32+L32</f>
        <v>2950000</v>
      </c>
      <c r="N32" s="115"/>
      <c r="P32" s="9" t="s">
        <v>37</v>
      </c>
      <c r="Q32" s="10" t="s">
        <v>13</v>
      </c>
      <c r="R32" s="11">
        <v>2400000</v>
      </c>
      <c r="S32" s="12">
        <v>0</v>
      </c>
      <c r="T32" s="114">
        <f>R32+S32</f>
        <v>2400000</v>
      </c>
      <c r="U32" s="115"/>
      <c r="W32" s="9" t="s">
        <v>37</v>
      </c>
      <c r="X32" s="10" t="s">
        <v>13</v>
      </c>
      <c r="Y32" s="11">
        <v>387000000</v>
      </c>
      <c r="Z32" s="12">
        <v>0</v>
      </c>
      <c r="AA32" s="114">
        <f>+Y32/300</f>
        <v>1290000</v>
      </c>
      <c r="AB32" s="115"/>
      <c r="AD32" s="9" t="s">
        <v>37</v>
      </c>
      <c r="AE32" s="10" t="s">
        <v>13</v>
      </c>
      <c r="AF32" s="11">
        <v>2003385.3502446262</v>
      </c>
      <c r="AG32" s="12">
        <v>0</v>
      </c>
      <c r="AH32" s="114">
        <f>AF32+AG32</f>
        <v>2003385.3502446262</v>
      </c>
      <c r="AI32" s="115"/>
      <c r="AK32" s="9" t="s">
        <v>37</v>
      </c>
      <c r="AL32" s="10" t="s">
        <v>13</v>
      </c>
      <c r="AM32" s="11">
        <v>8400000</v>
      </c>
      <c r="AN32" s="12">
        <v>0</v>
      </c>
      <c r="AO32" s="99">
        <f>AM32+AN32</f>
        <v>8400000</v>
      </c>
      <c r="AP32" s="100"/>
      <c r="AR32" s="9" t="s">
        <v>37</v>
      </c>
      <c r="AS32" s="10" t="s">
        <v>13</v>
      </c>
      <c r="AT32" s="11">
        <v>2100000</v>
      </c>
      <c r="AU32" s="12">
        <v>0</v>
      </c>
      <c r="AV32" s="99">
        <f>AT32+AU32</f>
        <v>2100000</v>
      </c>
      <c r="AW32" s="100"/>
      <c r="AY32" s="9" t="s">
        <v>37</v>
      </c>
      <c r="AZ32" s="10" t="s">
        <v>13</v>
      </c>
      <c r="BA32" s="11">
        <v>2231000</v>
      </c>
      <c r="BB32" s="12">
        <v>423890</v>
      </c>
      <c r="BC32" s="99">
        <v>2654890</v>
      </c>
      <c r="BD32" s="100"/>
      <c r="BF32" s="9" t="s">
        <v>37</v>
      </c>
      <c r="BG32" s="10" t="s">
        <v>13</v>
      </c>
      <c r="BH32" s="11">
        <v>3900000</v>
      </c>
      <c r="BI32" s="12">
        <v>0</v>
      </c>
      <c r="BJ32" s="99">
        <f>BH32+BI32</f>
        <v>3900000</v>
      </c>
      <c r="BK32" s="100"/>
      <c r="BM32" s="54" t="s">
        <v>37</v>
      </c>
      <c r="BN32" s="55" t="s">
        <v>13</v>
      </c>
      <c r="BO32" s="56">
        <v>3000000</v>
      </c>
      <c r="BP32" s="57">
        <v>0</v>
      </c>
      <c r="BQ32" s="93">
        <f t="shared" ref="BQ32:BQ35" si="60">BO32+BP32</f>
        <v>3000000</v>
      </c>
      <c r="BR32" s="94"/>
      <c r="BT32" s="9" t="s">
        <v>37</v>
      </c>
      <c r="BU32" s="10" t="s">
        <v>13</v>
      </c>
      <c r="BV32" s="11">
        <v>2500000</v>
      </c>
      <c r="BW32" s="12">
        <v>0</v>
      </c>
      <c r="BX32" s="99">
        <f>BV32+BW32</f>
        <v>2500000</v>
      </c>
      <c r="BY32" s="100"/>
      <c r="CA32" s="9" t="s">
        <v>37</v>
      </c>
      <c r="CB32" s="10" t="s">
        <v>13</v>
      </c>
      <c r="CC32" s="11">
        <v>3067222.2222222164</v>
      </c>
      <c r="CD32" s="12">
        <f>CC32*0.19</f>
        <v>582772.22222222108</v>
      </c>
      <c r="CE32" s="99">
        <f>CC32+CD32</f>
        <v>3649994.4444444375</v>
      </c>
      <c r="CF32" s="100"/>
      <c r="CH32" s="70" t="s">
        <v>37</v>
      </c>
      <c r="CI32" s="71" t="s">
        <v>13</v>
      </c>
      <c r="CJ32" s="72">
        <f>+MAX(F32,M32,T32,AA32,AH32,AO32,AV32,BC32,BJ32,BQ32,BX32,CE32)</f>
        <v>8400000</v>
      </c>
      <c r="CK32" s="72">
        <f>+MIN(F32,M32,T32,AA32,AH32,AO32,AV32,BC32,BJ32,BQ32,BX32,CE32)</f>
        <v>1290000</v>
      </c>
      <c r="CL32" s="72">
        <f>+AVERAGE(F32,M32,T32,AA32,AH32,AO32,AV32,BC32,BJ32,BQ32,BX32,CE32)</f>
        <v>3251105.8162240889</v>
      </c>
      <c r="CM32" s="72">
        <f>+TRIMMEAN((F32,M32,T32,AA32,AH32,AO32,AV32,BC32,BJ32,BQ32,BX32,CE32),(2/12))</f>
        <v>2932326.9794689063</v>
      </c>
      <c r="CN32" s="72">
        <f>+MEDIAN(F32,M32,T32,AA32,AH32,AO32,AV32,BC32,BJ32,BQ32,BX32,CE32)</f>
        <v>2802445</v>
      </c>
      <c r="CO32" s="86" t="str">
        <f>IFERROR(MODE(F32,M32,T32,AA32,AH32,AO32,AV32,BC32,BJ32,BQ32,BX32,CE32),"N/A")</f>
        <v>N/A</v>
      </c>
      <c r="CP32" s="89">
        <f>+STDEV(F32,M32,T32,AA32,AH32,AO32,AV32,BC32,BJ32,BQ32,BX32,CE32)/CL32</f>
        <v>0.55992942656012812</v>
      </c>
      <c r="CQ32" t="s">
        <v>176</v>
      </c>
      <c r="CR32" t="s">
        <v>165</v>
      </c>
    </row>
    <row r="33" spans="1:96" x14ac:dyDescent="0.2">
      <c r="A33" s="126"/>
      <c r="B33" s="9" t="s">
        <v>38</v>
      </c>
      <c r="C33" s="13" t="s">
        <v>15</v>
      </c>
      <c r="D33" s="11">
        <v>3300000</v>
      </c>
      <c r="E33" s="12">
        <f t="shared" ref="E33:E35" si="61">(D33*19)/100</f>
        <v>627000</v>
      </c>
      <c r="F33" s="99">
        <f t="shared" ref="F33:F35" si="62">D33+E33</f>
        <v>3927000</v>
      </c>
      <c r="G33" s="100"/>
      <c r="I33" s="9" t="s">
        <v>38</v>
      </c>
      <c r="J33" s="13" t="s">
        <v>15</v>
      </c>
      <c r="K33" s="11">
        <v>2750000</v>
      </c>
      <c r="L33" s="12">
        <v>0</v>
      </c>
      <c r="M33" s="114">
        <f t="shared" ref="M33:M35" si="63">+K33+L33</f>
        <v>2750000</v>
      </c>
      <c r="N33" s="115"/>
      <c r="P33" s="9" t="s">
        <v>38</v>
      </c>
      <c r="Q33" s="13" t="s">
        <v>15</v>
      </c>
      <c r="R33" s="11">
        <f>2280000</f>
        <v>2280000</v>
      </c>
      <c r="S33" s="12">
        <v>0</v>
      </c>
      <c r="T33" s="114">
        <f t="shared" ref="T33:T35" si="64">R33+S33</f>
        <v>2280000</v>
      </c>
      <c r="U33" s="115"/>
      <c r="W33" s="9" t="s">
        <v>38</v>
      </c>
      <c r="X33" s="13" t="s">
        <v>15</v>
      </c>
      <c r="Y33" s="11">
        <v>466000000</v>
      </c>
      <c r="Z33" s="12">
        <v>0</v>
      </c>
      <c r="AA33" s="114">
        <f>+Y33/400</f>
        <v>1165000</v>
      </c>
      <c r="AB33" s="115"/>
      <c r="AD33" s="9" t="s">
        <v>38</v>
      </c>
      <c r="AE33" s="13" t="s">
        <v>15</v>
      </c>
      <c r="AF33" s="11">
        <v>1964103.2845535551</v>
      </c>
      <c r="AG33" s="12">
        <v>0</v>
      </c>
      <c r="AH33" s="114">
        <f t="shared" ref="AH33:AH35" si="65">AF33+AG33</f>
        <v>1964103.2845535551</v>
      </c>
      <c r="AI33" s="115"/>
      <c r="AK33" s="9" t="s">
        <v>38</v>
      </c>
      <c r="AL33" s="13" t="s">
        <v>15</v>
      </c>
      <c r="AM33" s="11">
        <v>7725000</v>
      </c>
      <c r="AN33" s="12">
        <v>0</v>
      </c>
      <c r="AO33" s="99">
        <f t="shared" ref="AO33:AO35" si="66">AM33+AN33</f>
        <v>7725000</v>
      </c>
      <c r="AP33" s="100"/>
      <c r="AR33" s="9" t="s">
        <v>38</v>
      </c>
      <c r="AS33" s="13" t="s">
        <v>15</v>
      </c>
      <c r="AT33" s="11">
        <v>1728000</v>
      </c>
      <c r="AU33" s="12">
        <v>0</v>
      </c>
      <c r="AV33" s="99">
        <f t="shared" ref="AV33:AV35" si="67">AT33+AU33</f>
        <v>1728000</v>
      </c>
      <c r="AW33" s="100"/>
      <c r="AY33" s="9" t="s">
        <v>38</v>
      </c>
      <c r="AZ33" s="13" t="s">
        <v>15</v>
      </c>
      <c r="BA33" s="11">
        <v>2136000</v>
      </c>
      <c r="BB33" s="12">
        <v>405840</v>
      </c>
      <c r="BC33" s="99">
        <v>2541840</v>
      </c>
      <c r="BD33" s="100"/>
      <c r="BF33" s="9" t="s">
        <v>38</v>
      </c>
      <c r="BG33" s="13" t="s">
        <v>15</v>
      </c>
      <c r="BH33" s="11">
        <v>3480000</v>
      </c>
      <c r="BI33" s="12">
        <v>0</v>
      </c>
      <c r="BJ33" s="99">
        <f>BH33+BI33</f>
        <v>3480000</v>
      </c>
      <c r="BK33" s="100"/>
      <c r="BM33" s="54" t="s">
        <v>38</v>
      </c>
      <c r="BN33" s="58" t="s">
        <v>15</v>
      </c>
      <c r="BO33" s="56">
        <v>3000000</v>
      </c>
      <c r="BP33" s="57">
        <v>0</v>
      </c>
      <c r="BQ33" s="93">
        <f t="shared" si="60"/>
        <v>3000000</v>
      </c>
      <c r="BR33" s="94"/>
      <c r="BT33" s="9" t="s">
        <v>38</v>
      </c>
      <c r="BU33" s="13" t="s">
        <v>15</v>
      </c>
      <c r="BV33" s="11">
        <v>2200000</v>
      </c>
      <c r="BW33" s="12">
        <v>0</v>
      </c>
      <c r="BX33" s="99">
        <f t="shared" ref="BX33:BX35" si="68">BV33+BW33</f>
        <v>2200000</v>
      </c>
      <c r="BY33" s="100"/>
      <c r="CA33" s="9" t="s">
        <v>38</v>
      </c>
      <c r="CB33" s="13" t="s">
        <v>15</v>
      </c>
      <c r="CC33" s="11">
        <v>3067222.2222222164</v>
      </c>
      <c r="CD33" s="12">
        <f>CC33*0.19</f>
        <v>582772.22222222108</v>
      </c>
      <c r="CE33" s="99">
        <f t="shared" ref="CE33:CE35" si="69">CC33+CD33</f>
        <v>3649994.4444444375</v>
      </c>
      <c r="CF33" s="100"/>
      <c r="CH33" s="70" t="s">
        <v>38</v>
      </c>
      <c r="CI33" s="71" t="s">
        <v>15</v>
      </c>
      <c r="CJ33" s="72">
        <f t="shared" ref="CJ33:CJ35" si="70">+MAX(F33,M33,T33,AA33,AH33,AO33,AV33,BC33,BJ33,BQ33,BX33,CE33)</f>
        <v>7725000</v>
      </c>
      <c r="CK33" s="72">
        <f t="shared" ref="CK33:CK35" si="71">+MIN(F33,M33,T33,AA33,AH33,AO33,AV33,BC33,BJ33,BQ33,BX33,CE33)</f>
        <v>1165000</v>
      </c>
      <c r="CL33" s="72">
        <f t="shared" ref="CL33:CL35" si="72">+AVERAGE(F33,M33,T33,AA33,AH33,AO33,AV33,BC33,BJ33,BQ33,BX33,CE33)</f>
        <v>3034244.810749833</v>
      </c>
      <c r="CM33" s="72">
        <f>+TRIMMEAN((F33,M33,T33,AA33,AH33,AO33,AV33,BC33,BJ33,BQ33,BX33,CE33),(2/12))</f>
        <v>2752093.7728997995</v>
      </c>
      <c r="CN33" s="72">
        <f t="shared" ref="CN33:CN35" si="73">+MEDIAN(F33,M33,T33,AA33,AH33,AO33,AV33,BC33,BJ33,BQ33,BX33,CE33)</f>
        <v>2645920</v>
      </c>
      <c r="CO33" s="86" t="str">
        <f t="shared" ref="CO33:CO35" si="74">IFERROR(MODE(F33,M33,T33,AA33,AH33,AO33,AV33,BC33,BJ33,BQ33,BX33,CE33),"N/A")</f>
        <v>N/A</v>
      </c>
      <c r="CP33" s="89">
        <f>+STDEV(F33,M33,T33,AA33,AH33,AO33,AV33,BC33,BJ33,BQ33,BX33,CE33)/CL33</f>
        <v>0.55605086135659865</v>
      </c>
      <c r="CQ33" t="s">
        <v>176</v>
      </c>
      <c r="CR33" t="s">
        <v>165</v>
      </c>
    </row>
    <row r="34" spans="1:96" ht="17" customHeight="1" x14ac:dyDescent="0.2">
      <c r="A34" s="126"/>
      <c r="B34" s="9" t="s">
        <v>39</v>
      </c>
      <c r="C34" s="13" t="s">
        <v>17</v>
      </c>
      <c r="D34" s="11">
        <v>3200000</v>
      </c>
      <c r="E34" s="12">
        <f t="shared" si="61"/>
        <v>608000</v>
      </c>
      <c r="F34" s="99">
        <f t="shared" si="62"/>
        <v>3808000</v>
      </c>
      <c r="G34" s="100"/>
      <c r="I34" s="9" t="s">
        <v>39</v>
      </c>
      <c r="J34" s="13" t="s">
        <v>17</v>
      </c>
      <c r="K34" s="11">
        <v>2590000</v>
      </c>
      <c r="L34" s="12">
        <v>0</v>
      </c>
      <c r="M34" s="114">
        <f t="shared" si="63"/>
        <v>2590000</v>
      </c>
      <c r="N34" s="115"/>
      <c r="P34" s="9" t="s">
        <v>39</v>
      </c>
      <c r="Q34" s="13" t="s">
        <v>17</v>
      </c>
      <c r="R34" s="11">
        <f>2166000</f>
        <v>2166000</v>
      </c>
      <c r="S34" s="12">
        <v>0</v>
      </c>
      <c r="T34" s="114">
        <f t="shared" si="64"/>
        <v>2166000</v>
      </c>
      <c r="U34" s="115"/>
      <c r="W34" s="9" t="s">
        <v>39</v>
      </c>
      <c r="X34" s="13" t="s">
        <v>17</v>
      </c>
      <c r="Y34" s="11">
        <v>575000000</v>
      </c>
      <c r="Z34" s="12">
        <v>0</v>
      </c>
      <c r="AA34" s="114">
        <f>+Y34/500</f>
        <v>1150000</v>
      </c>
      <c r="AB34" s="115"/>
      <c r="AD34" s="9" t="s">
        <v>39</v>
      </c>
      <c r="AE34" s="13" t="s">
        <v>17</v>
      </c>
      <c r="AF34" s="11">
        <v>1945034.3206258507</v>
      </c>
      <c r="AG34" s="12">
        <v>0</v>
      </c>
      <c r="AH34" s="114">
        <f t="shared" si="65"/>
        <v>1945034.3206258507</v>
      </c>
      <c r="AI34" s="115"/>
      <c r="AK34" s="9" t="s">
        <v>39</v>
      </c>
      <c r="AL34" s="13" t="s">
        <v>17</v>
      </c>
      <c r="AM34" s="11">
        <v>7350000</v>
      </c>
      <c r="AN34" s="12">
        <v>0</v>
      </c>
      <c r="AO34" s="99">
        <f t="shared" si="66"/>
        <v>7350000</v>
      </c>
      <c r="AP34" s="100"/>
      <c r="AR34" s="9" t="s">
        <v>39</v>
      </c>
      <c r="AS34" s="13" t="s">
        <v>17</v>
      </c>
      <c r="AT34" s="11">
        <v>1400000</v>
      </c>
      <c r="AU34" s="12">
        <v>0</v>
      </c>
      <c r="AV34" s="99">
        <f t="shared" si="67"/>
        <v>1400000</v>
      </c>
      <c r="AW34" s="100"/>
      <c r="AY34" s="9" t="s">
        <v>39</v>
      </c>
      <c r="AZ34" s="13" t="s">
        <v>17</v>
      </c>
      <c r="BA34" s="11">
        <v>2127000</v>
      </c>
      <c r="BB34" s="12">
        <v>404130</v>
      </c>
      <c r="BC34" s="99">
        <v>2531130</v>
      </c>
      <c r="BD34" s="100"/>
      <c r="BF34" s="9" t="s">
        <v>39</v>
      </c>
      <c r="BG34" s="13" t="s">
        <v>17</v>
      </c>
      <c r="BH34" s="11">
        <v>3270000</v>
      </c>
      <c r="BI34" s="12">
        <v>0</v>
      </c>
      <c r="BJ34" s="99">
        <f>BH34+BI34</f>
        <v>3270000</v>
      </c>
      <c r="BK34" s="100"/>
      <c r="BM34" s="54" t="s">
        <v>39</v>
      </c>
      <c r="BN34" s="58" t="s">
        <v>17</v>
      </c>
      <c r="BO34" s="56">
        <v>3000000</v>
      </c>
      <c r="BP34" s="57">
        <v>0</v>
      </c>
      <c r="BQ34" s="93">
        <f t="shared" si="60"/>
        <v>3000000</v>
      </c>
      <c r="BR34" s="94"/>
      <c r="BT34" s="9" t="s">
        <v>39</v>
      </c>
      <c r="BU34" s="13" t="s">
        <v>17</v>
      </c>
      <c r="BV34" s="11">
        <v>2000000</v>
      </c>
      <c r="BW34" s="12">
        <v>0</v>
      </c>
      <c r="BX34" s="99">
        <f t="shared" si="68"/>
        <v>2000000</v>
      </c>
      <c r="BY34" s="100"/>
      <c r="CA34" s="9" t="s">
        <v>39</v>
      </c>
      <c r="CB34" s="13" t="s">
        <v>17</v>
      </c>
      <c r="CC34" s="11">
        <v>3067222.2222222164</v>
      </c>
      <c r="CD34" s="12">
        <f>CC34*0.19</f>
        <v>582772.22222222108</v>
      </c>
      <c r="CE34" s="99">
        <f t="shared" si="69"/>
        <v>3649994.4444444375</v>
      </c>
      <c r="CF34" s="100"/>
      <c r="CH34" s="70" t="s">
        <v>39</v>
      </c>
      <c r="CI34" s="71" t="s">
        <v>17</v>
      </c>
      <c r="CJ34" s="72">
        <f t="shared" si="70"/>
        <v>7350000</v>
      </c>
      <c r="CK34" s="72">
        <f t="shared" si="71"/>
        <v>1150000</v>
      </c>
      <c r="CL34" s="72">
        <f t="shared" si="72"/>
        <v>2905013.2304225243</v>
      </c>
      <c r="CM34" s="72">
        <f>+TRIMMEAN((F34,M34,T34,AA34,AH34,AO34,AV34,BC34,BJ34,BQ34,BX34,CE34),(2/12))</f>
        <v>2636015.8765070285</v>
      </c>
      <c r="CN34" s="72">
        <f t="shared" si="73"/>
        <v>2560565</v>
      </c>
      <c r="CO34" s="86" t="str">
        <f t="shared" si="74"/>
        <v>N/A</v>
      </c>
      <c r="CP34" s="89">
        <f>+STDEV(F34,M34,T34,AA34,AH34,AO34,AV34,BC34,BJ34,BQ34,BX34,CE34)/CL34</f>
        <v>0.56028759443822362</v>
      </c>
      <c r="CQ34" t="s">
        <v>176</v>
      </c>
      <c r="CR34" t="s">
        <v>165</v>
      </c>
    </row>
    <row r="35" spans="1:96" ht="17" customHeight="1" thickBot="1" x14ac:dyDescent="0.25">
      <c r="A35" s="127"/>
      <c r="B35" s="9" t="s">
        <v>40</v>
      </c>
      <c r="C35" s="14" t="s">
        <v>19</v>
      </c>
      <c r="D35" s="11">
        <v>2895000</v>
      </c>
      <c r="E35" s="12">
        <f t="shared" si="61"/>
        <v>550050</v>
      </c>
      <c r="F35" s="99">
        <f t="shared" si="62"/>
        <v>3445050</v>
      </c>
      <c r="G35" s="100"/>
      <c r="I35" s="9" t="s">
        <v>40</v>
      </c>
      <c r="J35" s="14" t="s">
        <v>19</v>
      </c>
      <c r="K35" s="11">
        <v>2500000</v>
      </c>
      <c r="L35" s="12">
        <v>0</v>
      </c>
      <c r="M35" s="114">
        <f t="shared" si="63"/>
        <v>2500000</v>
      </c>
      <c r="N35" s="115"/>
      <c r="P35" s="9" t="s">
        <v>40</v>
      </c>
      <c r="Q35" s="14" t="s">
        <v>19</v>
      </c>
      <c r="R35" s="11">
        <f>2057000</f>
        <v>2057000</v>
      </c>
      <c r="S35" s="12">
        <v>0</v>
      </c>
      <c r="T35" s="114">
        <f t="shared" si="64"/>
        <v>2057000</v>
      </c>
      <c r="U35" s="115"/>
      <c r="W35" s="9" t="s">
        <v>40</v>
      </c>
      <c r="X35" s="14" t="s">
        <v>19</v>
      </c>
      <c r="Y35" s="11">
        <v>575000000</v>
      </c>
      <c r="Z35" s="12">
        <v>0</v>
      </c>
      <c r="AA35" s="114">
        <f>+Y35/500</f>
        <v>1150000</v>
      </c>
      <c r="AB35" s="115"/>
      <c r="AD35" s="9" t="s">
        <v>40</v>
      </c>
      <c r="AE35" s="14" t="s">
        <v>19</v>
      </c>
      <c r="AF35" s="11">
        <v>1926332.0675429096</v>
      </c>
      <c r="AG35" s="12">
        <v>0</v>
      </c>
      <c r="AH35" s="114">
        <f t="shared" si="65"/>
        <v>1926332.0675429096</v>
      </c>
      <c r="AI35" s="115"/>
      <c r="AK35" s="9" t="s">
        <v>40</v>
      </c>
      <c r="AL35" s="14" t="s">
        <v>179</v>
      </c>
      <c r="AM35" s="11">
        <v>6790000</v>
      </c>
      <c r="AN35" s="12">
        <v>0</v>
      </c>
      <c r="AO35" s="99">
        <f t="shared" si="66"/>
        <v>6790000</v>
      </c>
      <c r="AP35" s="100"/>
      <c r="AR35" s="9" t="s">
        <v>40</v>
      </c>
      <c r="AS35" s="14" t="s">
        <v>19</v>
      </c>
      <c r="AT35" s="11">
        <v>1200000</v>
      </c>
      <c r="AU35" s="12">
        <v>0</v>
      </c>
      <c r="AV35" s="99">
        <f t="shared" si="67"/>
        <v>1200000</v>
      </c>
      <c r="AW35" s="100"/>
      <c r="AY35" s="9" t="s">
        <v>40</v>
      </c>
      <c r="AZ35" s="14" t="s">
        <v>19</v>
      </c>
      <c r="BA35" s="11">
        <v>2115000</v>
      </c>
      <c r="BB35" s="12">
        <v>401850</v>
      </c>
      <c r="BC35" s="99">
        <v>2516850</v>
      </c>
      <c r="BD35" s="100"/>
      <c r="BF35" s="9" t="s">
        <v>40</v>
      </c>
      <c r="BG35" s="14" t="s">
        <v>19</v>
      </c>
      <c r="BH35" s="11">
        <v>3100000</v>
      </c>
      <c r="BI35" s="12">
        <v>0</v>
      </c>
      <c r="BJ35" s="99">
        <f>BH35+BI35</f>
        <v>3100000</v>
      </c>
      <c r="BK35" s="100"/>
      <c r="BM35" s="54" t="s">
        <v>40</v>
      </c>
      <c r="BN35" s="59" t="s">
        <v>19</v>
      </c>
      <c r="BO35" s="56">
        <v>3000000</v>
      </c>
      <c r="BP35" s="57">
        <v>0</v>
      </c>
      <c r="BQ35" s="93">
        <f t="shared" si="60"/>
        <v>3000000</v>
      </c>
      <c r="BR35" s="94"/>
      <c r="BT35" s="9" t="s">
        <v>40</v>
      </c>
      <c r="BU35" s="14" t="s">
        <v>19</v>
      </c>
      <c r="BV35" s="11">
        <v>2000000</v>
      </c>
      <c r="BW35" s="12">
        <v>0</v>
      </c>
      <c r="BX35" s="99">
        <f t="shared" si="68"/>
        <v>2000000</v>
      </c>
      <c r="BY35" s="100"/>
      <c r="CA35" s="9" t="s">
        <v>40</v>
      </c>
      <c r="CB35" s="14" t="s">
        <v>19</v>
      </c>
      <c r="CC35" s="11">
        <v>2002222.2222222167</v>
      </c>
      <c r="CD35" s="12">
        <f>CC35*0.19</f>
        <v>380422.22222222114</v>
      </c>
      <c r="CE35" s="99">
        <f t="shared" si="69"/>
        <v>2382644.444444438</v>
      </c>
      <c r="CF35" s="100"/>
      <c r="CH35" s="70" t="s">
        <v>40</v>
      </c>
      <c r="CI35" s="71" t="s">
        <v>19</v>
      </c>
      <c r="CJ35" s="72">
        <f t="shared" si="70"/>
        <v>6790000</v>
      </c>
      <c r="CK35" s="72">
        <f t="shared" si="71"/>
        <v>1150000</v>
      </c>
      <c r="CL35" s="72">
        <f t="shared" si="72"/>
        <v>2672323.0426656124</v>
      </c>
      <c r="CM35" s="72">
        <f>+TRIMMEAN((F35,M35,T35,AA35,AH35,AO35,AV35,BC35,BJ35,BQ35,BX35,CE35),(2/12))</f>
        <v>2412787.6511987345</v>
      </c>
      <c r="CN35" s="72">
        <f t="shared" si="73"/>
        <v>2441322.2222222192</v>
      </c>
      <c r="CO35" s="86" t="str">
        <f t="shared" si="74"/>
        <v>N/A</v>
      </c>
      <c r="CP35" s="89">
        <f>+STDEV(F35,M35,T35,AA35,AH35,AO35,AV35,BC35,BJ35,BQ35,BX35,CE35)/CL35</f>
        <v>0.55104133016732459</v>
      </c>
      <c r="CQ35" t="s">
        <v>176</v>
      </c>
      <c r="CR35" t="s">
        <v>165</v>
      </c>
    </row>
    <row r="36" spans="1:96" ht="46" customHeight="1" thickBot="1" x14ac:dyDescent="0.25">
      <c r="A36" s="1" t="s">
        <v>1</v>
      </c>
      <c r="B36" s="103" t="s">
        <v>36</v>
      </c>
      <c r="C36" s="104"/>
      <c r="D36" s="104"/>
      <c r="E36" s="105"/>
      <c r="F36" s="18" t="s">
        <v>3</v>
      </c>
      <c r="G36" s="19" t="s">
        <v>20</v>
      </c>
      <c r="I36" s="15" t="s">
        <v>36</v>
      </c>
      <c r="J36" s="16"/>
      <c r="K36" s="16"/>
      <c r="L36" s="17"/>
      <c r="M36" s="18" t="s">
        <v>3</v>
      </c>
      <c r="N36" s="19" t="s">
        <v>20</v>
      </c>
      <c r="P36" s="103" t="s">
        <v>36</v>
      </c>
      <c r="Q36" s="104"/>
      <c r="R36" s="104"/>
      <c r="S36" s="105"/>
      <c r="T36" s="18" t="s">
        <v>3</v>
      </c>
      <c r="U36" s="19" t="s">
        <v>20</v>
      </c>
      <c r="W36" s="15" t="s">
        <v>36</v>
      </c>
      <c r="X36" s="16"/>
      <c r="Y36" s="16"/>
      <c r="Z36" s="17"/>
      <c r="AA36" s="18" t="s">
        <v>3</v>
      </c>
      <c r="AB36" s="19" t="s">
        <v>20</v>
      </c>
      <c r="AD36" s="103" t="s">
        <v>36</v>
      </c>
      <c r="AE36" s="104"/>
      <c r="AF36" s="104"/>
      <c r="AG36" s="105"/>
      <c r="AH36" s="18" t="s">
        <v>3</v>
      </c>
      <c r="AI36" s="19" t="s">
        <v>20</v>
      </c>
      <c r="AK36" s="103"/>
      <c r="AL36" s="104"/>
      <c r="AM36" s="104"/>
      <c r="AN36" s="105"/>
      <c r="AO36" s="18" t="s">
        <v>3</v>
      </c>
      <c r="AP36" s="19" t="s">
        <v>20</v>
      </c>
      <c r="AR36" s="103" t="s">
        <v>36</v>
      </c>
      <c r="AS36" s="104"/>
      <c r="AT36" s="104"/>
      <c r="AU36" s="105"/>
      <c r="AV36" s="18" t="s">
        <v>3</v>
      </c>
      <c r="AW36" s="19" t="s">
        <v>20</v>
      </c>
      <c r="AY36" s="103" t="s">
        <v>36</v>
      </c>
      <c r="AZ36" s="104"/>
      <c r="BA36" s="104"/>
      <c r="BB36" s="105"/>
      <c r="BC36" s="18" t="s">
        <v>3</v>
      </c>
      <c r="BD36" s="19" t="s">
        <v>20</v>
      </c>
      <c r="BF36" s="103" t="s">
        <v>36</v>
      </c>
      <c r="BG36" s="104"/>
      <c r="BH36" s="104"/>
      <c r="BI36" s="105"/>
      <c r="BJ36" s="18" t="s">
        <v>3</v>
      </c>
      <c r="BK36" s="19" t="s">
        <v>20</v>
      </c>
      <c r="BM36" s="95" t="s">
        <v>36</v>
      </c>
      <c r="BN36" s="96"/>
      <c r="BO36" s="96"/>
      <c r="BP36" s="97"/>
      <c r="BQ36" s="60" t="s">
        <v>3</v>
      </c>
      <c r="BR36" s="61" t="s">
        <v>20</v>
      </c>
      <c r="BT36" s="103" t="s">
        <v>36</v>
      </c>
      <c r="BU36" s="104"/>
      <c r="BV36" s="104"/>
      <c r="BW36" s="105"/>
      <c r="BX36" s="18" t="s">
        <v>3</v>
      </c>
      <c r="BY36" s="19" t="s">
        <v>20</v>
      </c>
      <c r="CA36" s="103" t="s">
        <v>36</v>
      </c>
      <c r="CB36" s="104"/>
      <c r="CC36" s="104"/>
      <c r="CD36" s="105"/>
      <c r="CE36" s="18" t="s">
        <v>3</v>
      </c>
      <c r="CF36" s="19" t="s">
        <v>20</v>
      </c>
    </row>
    <row r="37" spans="1:96" ht="46" thickBot="1" x14ac:dyDescent="0.25">
      <c r="A37" s="3" t="s">
        <v>5</v>
      </c>
      <c r="B37" s="20" t="s">
        <v>6</v>
      </c>
      <c r="C37" s="20" t="s">
        <v>7</v>
      </c>
      <c r="D37" s="20" t="s">
        <v>8</v>
      </c>
      <c r="E37" s="21" t="s">
        <v>9</v>
      </c>
      <c r="F37" s="106" t="s">
        <v>21</v>
      </c>
      <c r="G37" s="107"/>
      <c r="I37" s="20" t="s">
        <v>6</v>
      </c>
      <c r="J37" s="20" t="s">
        <v>7</v>
      </c>
      <c r="K37" s="20" t="s">
        <v>8</v>
      </c>
      <c r="L37" s="21" t="s">
        <v>9</v>
      </c>
      <c r="M37" s="22" t="s">
        <v>21</v>
      </c>
      <c r="N37" s="23"/>
      <c r="P37" s="20" t="s">
        <v>6</v>
      </c>
      <c r="Q37" s="20" t="s">
        <v>7</v>
      </c>
      <c r="R37" s="20" t="s">
        <v>8</v>
      </c>
      <c r="S37" s="21" t="s">
        <v>9</v>
      </c>
      <c r="T37" s="106" t="s">
        <v>21</v>
      </c>
      <c r="U37" s="107"/>
      <c r="W37" s="20" t="s">
        <v>6</v>
      </c>
      <c r="X37" s="20" t="s">
        <v>7</v>
      </c>
      <c r="Y37" s="20" t="s">
        <v>8</v>
      </c>
      <c r="Z37" s="21" t="s">
        <v>9</v>
      </c>
      <c r="AA37" s="22" t="s">
        <v>21</v>
      </c>
      <c r="AB37" s="23"/>
      <c r="AD37" s="20" t="s">
        <v>6</v>
      </c>
      <c r="AE37" s="20" t="s">
        <v>7</v>
      </c>
      <c r="AF37" s="20" t="s">
        <v>8</v>
      </c>
      <c r="AG37" s="21" t="s">
        <v>9</v>
      </c>
      <c r="AH37" s="106" t="s">
        <v>21</v>
      </c>
      <c r="AI37" s="107"/>
      <c r="AK37" s="20" t="s">
        <v>6</v>
      </c>
      <c r="AL37" s="20" t="s">
        <v>7</v>
      </c>
      <c r="AM37" s="20" t="s">
        <v>8</v>
      </c>
      <c r="AN37" s="21" t="s">
        <v>9</v>
      </c>
      <c r="AO37" s="106" t="s">
        <v>21</v>
      </c>
      <c r="AP37" s="107"/>
      <c r="AR37" s="20" t="s">
        <v>6</v>
      </c>
      <c r="AS37" s="20" t="s">
        <v>7</v>
      </c>
      <c r="AT37" s="20" t="s">
        <v>8</v>
      </c>
      <c r="AU37" s="21" t="s">
        <v>9</v>
      </c>
      <c r="AV37" s="106" t="s">
        <v>21</v>
      </c>
      <c r="AW37" s="107"/>
      <c r="AY37" s="20" t="s">
        <v>6</v>
      </c>
      <c r="AZ37" s="20" t="s">
        <v>7</v>
      </c>
      <c r="BA37" s="20" t="s">
        <v>8</v>
      </c>
      <c r="BB37" s="21" t="s">
        <v>9</v>
      </c>
      <c r="BC37" s="106" t="s">
        <v>21</v>
      </c>
      <c r="BD37" s="107"/>
      <c r="BF37" s="20" t="s">
        <v>6</v>
      </c>
      <c r="BG37" s="20" t="s">
        <v>7</v>
      </c>
      <c r="BH37" s="20" t="s">
        <v>8</v>
      </c>
      <c r="BI37" s="21" t="s">
        <v>9</v>
      </c>
      <c r="BJ37" s="106" t="s">
        <v>21</v>
      </c>
      <c r="BK37" s="107"/>
      <c r="BM37" s="52" t="s">
        <v>6</v>
      </c>
      <c r="BN37" s="52" t="s">
        <v>7</v>
      </c>
      <c r="BO37" s="52" t="s">
        <v>8</v>
      </c>
      <c r="BP37" s="53" t="s">
        <v>9</v>
      </c>
      <c r="BQ37" s="98" t="s">
        <v>21</v>
      </c>
      <c r="BR37" s="97"/>
      <c r="BT37" s="20" t="s">
        <v>6</v>
      </c>
      <c r="BU37" s="20" t="s">
        <v>7</v>
      </c>
      <c r="BV37" s="20" t="s">
        <v>8</v>
      </c>
      <c r="BW37" s="21" t="s">
        <v>9</v>
      </c>
      <c r="BX37" s="106" t="s">
        <v>21</v>
      </c>
      <c r="BY37" s="107"/>
      <c r="CA37" s="20" t="s">
        <v>6</v>
      </c>
      <c r="CB37" s="20" t="s">
        <v>7</v>
      </c>
      <c r="CC37" s="20" t="s">
        <v>8</v>
      </c>
      <c r="CD37" s="21" t="s">
        <v>9</v>
      </c>
      <c r="CE37" s="106" t="s">
        <v>21</v>
      </c>
      <c r="CF37" s="107"/>
      <c r="CH37" s="68" t="s">
        <v>6</v>
      </c>
      <c r="CI37" s="68" t="s">
        <v>7</v>
      </c>
      <c r="CJ37" s="69" t="s">
        <v>268</v>
      </c>
      <c r="CK37" s="69" t="s">
        <v>269</v>
      </c>
      <c r="CL37" s="69" t="s">
        <v>270</v>
      </c>
      <c r="CM37" s="76" t="s">
        <v>273</v>
      </c>
      <c r="CN37" s="69" t="s">
        <v>271</v>
      </c>
      <c r="CO37" s="69" t="s">
        <v>272</v>
      </c>
      <c r="CQ37" s="92" t="s">
        <v>291</v>
      </c>
      <c r="CR37" s="92" t="s">
        <v>292</v>
      </c>
    </row>
    <row r="38" spans="1:96" x14ac:dyDescent="0.2">
      <c r="A38" s="125" t="s">
        <v>11</v>
      </c>
      <c r="B38" s="9" t="s">
        <v>41</v>
      </c>
      <c r="C38" s="10" t="s">
        <v>13</v>
      </c>
      <c r="D38" s="11">
        <v>3500000</v>
      </c>
      <c r="E38" s="12">
        <f>(D38*19)/100</f>
        <v>665000</v>
      </c>
      <c r="F38" s="99">
        <f>D38+E38</f>
        <v>4165000</v>
      </c>
      <c r="G38" s="100"/>
      <c r="I38" s="9" t="s">
        <v>41</v>
      </c>
      <c r="J38" s="10" t="s">
        <v>13</v>
      </c>
      <c r="K38" s="11">
        <v>2950000</v>
      </c>
      <c r="L38" s="12">
        <v>0</v>
      </c>
      <c r="M38" s="114">
        <f>+K38+L38</f>
        <v>2950000</v>
      </c>
      <c r="N38" s="115"/>
      <c r="P38" s="28" t="s">
        <v>41</v>
      </c>
      <c r="Q38" s="29" t="s">
        <v>13</v>
      </c>
      <c r="R38" s="30">
        <v>2400000</v>
      </c>
      <c r="S38" s="31">
        <v>0</v>
      </c>
      <c r="T38" s="121">
        <f>R38+S38</f>
        <v>2400000</v>
      </c>
      <c r="U38" s="122"/>
      <c r="W38" s="9" t="s">
        <v>41</v>
      </c>
      <c r="X38" s="10" t="s">
        <v>13</v>
      </c>
      <c r="Y38" s="11">
        <v>387000000</v>
      </c>
      <c r="Z38" s="12">
        <v>0</v>
      </c>
      <c r="AA38" s="114">
        <f>+Y38/300</f>
        <v>1290000</v>
      </c>
      <c r="AB38" s="115"/>
      <c r="AD38" s="9" t="s">
        <v>41</v>
      </c>
      <c r="AE38" s="10" t="s">
        <v>13</v>
      </c>
      <c r="AF38" s="11">
        <v>2023419.2037470725</v>
      </c>
      <c r="AG38" s="12">
        <v>0</v>
      </c>
      <c r="AH38" s="114">
        <f>AF38+AG38</f>
        <v>2023419.2037470725</v>
      </c>
      <c r="AI38" s="115"/>
      <c r="AK38" s="9" t="s">
        <v>41</v>
      </c>
      <c r="AL38" s="10" t="s">
        <v>13</v>
      </c>
      <c r="AM38" s="11">
        <v>8400000</v>
      </c>
      <c r="AN38" s="12">
        <v>0</v>
      </c>
      <c r="AO38" s="99">
        <f>AM38+AN38</f>
        <v>8400000</v>
      </c>
      <c r="AP38" s="100"/>
      <c r="AR38" s="9" t="s">
        <v>41</v>
      </c>
      <c r="AS38" s="10" t="s">
        <v>13</v>
      </c>
      <c r="AT38" s="11">
        <v>2100000</v>
      </c>
      <c r="AU38" s="12">
        <v>0</v>
      </c>
      <c r="AV38" s="99">
        <f>AT38+AU38</f>
        <v>2100000</v>
      </c>
      <c r="AW38" s="100"/>
      <c r="AY38" s="9" t="s">
        <v>41</v>
      </c>
      <c r="AZ38" s="10" t="s">
        <v>13</v>
      </c>
      <c r="BA38" s="11">
        <v>2677200</v>
      </c>
      <c r="BB38" s="12">
        <v>508668</v>
      </c>
      <c r="BC38" s="99">
        <v>3185868</v>
      </c>
      <c r="BD38" s="100"/>
      <c r="BF38" s="9" t="s">
        <v>41</v>
      </c>
      <c r="BG38" s="10" t="s">
        <v>13</v>
      </c>
      <c r="BH38" s="11">
        <v>3900000</v>
      </c>
      <c r="BI38" s="12">
        <v>0</v>
      </c>
      <c r="BJ38" s="99">
        <f>BH38+BI38</f>
        <v>3900000</v>
      </c>
      <c r="BK38" s="100"/>
      <c r="BM38" s="54" t="s">
        <v>41</v>
      </c>
      <c r="BN38" s="55" t="s">
        <v>13</v>
      </c>
      <c r="BO38" s="56">
        <v>3000000</v>
      </c>
      <c r="BP38" s="57">
        <v>0</v>
      </c>
      <c r="BQ38" s="93">
        <f t="shared" ref="BQ38:BQ41" si="75">BO38+BP38</f>
        <v>3000000</v>
      </c>
      <c r="BR38" s="94"/>
      <c r="BT38" s="85" t="s">
        <v>41</v>
      </c>
      <c r="BU38" s="10" t="s">
        <v>13</v>
      </c>
      <c r="BV38" s="11">
        <v>2500000</v>
      </c>
      <c r="BW38" s="12">
        <v>0</v>
      </c>
      <c r="BX38" s="99">
        <f>BV38+BW38</f>
        <v>2500000</v>
      </c>
      <c r="BY38" s="100"/>
      <c r="CA38" s="9" t="s">
        <v>41</v>
      </c>
      <c r="CB38" s="10" t="s">
        <v>13</v>
      </c>
      <c r="CC38" s="11">
        <v>3067222.2222222164</v>
      </c>
      <c r="CD38" s="12">
        <f>CC38*0.19</f>
        <v>582772.22222222108</v>
      </c>
      <c r="CE38" s="99">
        <f>CC38+CD38</f>
        <v>3649994.4444444375</v>
      </c>
      <c r="CF38" s="100"/>
      <c r="CH38" s="70" t="s">
        <v>41</v>
      </c>
      <c r="CI38" s="71" t="s">
        <v>13</v>
      </c>
      <c r="CJ38" s="72">
        <f>+MAX(F38,M38,T38,AA38,AH38,AO38,AV38,BC38,BJ38,BQ38,BX38,CE38)</f>
        <v>8400000</v>
      </c>
      <c r="CK38" s="72">
        <f>+MIN(F38,M38,T38,AA38,AH38,AO38,AV38,BC38,BJ38,BQ38,BX38,CE38)</f>
        <v>1290000</v>
      </c>
      <c r="CL38" s="72">
        <f>+AVERAGE(F38,M38,T38,AA38,AH38,AO38,AV38,BC38,BJ38,BQ38,BX38,CE38)</f>
        <v>3297023.4706826261</v>
      </c>
      <c r="CM38" s="72">
        <f>+TRIMMEAN((F38,M38,T38,AA38,AH38,AO38,AV38,BC38,BJ38,BQ38,BX38,CE38),(2/12))</f>
        <v>2987428.1648191507</v>
      </c>
      <c r="CN38" s="72">
        <f>+MEDIAN(F38,M38,T38,AA38,AH38,AO38,AV38,BC38,BJ38,BQ38,BX38,CE38)</f>
        <v>2975000</v>
      </c>
      <c r="CO38" s="86" t="str">
        <f>IFERROR(MODE(F38,M38,T38,AA38,AH38,AO38,AV38,BC38,BJ38,BQ38,BX38,CE38),"N/A")</f>
        <v>N/A</v>
      </c>
      <c r="CP38" s="89">
        <f>+STDEV(F38,M38,T38,AA38,AH38,AO38,AV38,BC38,BJ38,BQ38,BX38,CE38)/CL38</f>
        <v>0.54889469680873881</v>
      </c>
      <c r="CQ38" t="s">
        <v>176</v>
      </c>
      <c r="CR38" t="s">
        <v>165</v>
      </c>
    </row>
    <row r="39" spans="1:96" x14ac:dyDescent="0.2">
      <c r="A39" s="126"/>
      <c r="B39" s="9" t="s">
        <v>42</v>
      </c>
      <c r="C39" s="13" t="s">
        <v>15</v>
      </c>
      <c r="D39" s="11">
        <v>3300000</v>
      </c>
      <c r="E39" s="12">
        <f t="shared" ref="E39:E41" si="76">(D39*19)/100</f>
        <v>627000</v>
      </c>
      <c r="F39" s="99">
        <f t="shared" ref="F39:F41" si="77">D39+E39</f>
        <v>3927000</v>
      </c>
      <c r="G39" s="100"/>
      <c r="I39" s="9" t="s">
        <v>42</v>
      </c>
      <c r="J39" s="13" t="s">
        <v>15</v>
      </c>
      <c r="K39" s="11">
        <v>2750000</v>
      </c>
      <c r="L39" s="12">
        <v>0</v>
      </c>
      <c r="M39" s="114">
        <f t="shared" ref="M39:M41" si="78">+K39+L39</f>
        <v>2750000</v>
      </c>
      <c r="N39" s="115"/>
      <c r="P39" s="9" t="s">
        <v>42</v>
      </c>
      <c r="Q39" s="13" t="s">
        <v>15</v>
      </c>
      <c r="R39" s="11">
        <f>2280000</f>
        <v>2280000</v>
      </c>
      <c r="S39" s="12">
        <v>0</v>
      </c>
      <c r="T39" s="114">
        <f t="shared" ref="T39:T41" si="79">R39+S39</f>
        <v>2280000</v>
      </c>
      <c r="U39" s="115"/>
      <c r="W39" s="9" t="s">
        <v>42</v>
      </c>
      <c r="X39" s="13" t="s">
        <v>15</v>
      </c>
      <c r="Y39" s="11">
        <v>466000000</v>
      </c>
      <c r="Z39" s="12">
        <v>0</v>
      </c>
      <c r="AA39" s="114">
        <f>+Y39/400</f>
        <v>1165000</v>
      </c>
      <c r="AB39" s="115"/>
      <c r="AD39" s="9" t="s">
        <v>42</v>
      </c>
      <c r="AE39" s="13" t="s">
        <v>15</v>
      </c>
      <c r="AF39" s="11">
        <v>2003385.3502446262</v>
      </c>
      <c r="AG39" s="12">
        <v>0</v>
      </c>
      <c r="AH39" s="114">
        <f t="shared" ref="AH39:AH41" si="80">AF39+AG39</f>
        <v>2003385.3502446262</v>
      </c>
      <c r="AI39" s="115"/>
      <c r="AK39" s="9" t="s">
        <v>42</v>
      </c>
      <c r="AL39" s="13" t="s">
        <v>15</v>
      </c>
      <c r="AM39" s="11">
        <v>7725000</v>
      </c>
      <c r="AN39" s="12">
        <v>0</v>
      </c>
      <c r="AO39" s="99">
        <f t="shared" ref="AO39:AO41" si="81">AM39+AN39</f>
        <v>7725000</v>
      </c>
      <c r="AP39" s="100"/>
      <c r="AR39" s="9" t="s">
        <v>42</v>
      </c>
      <c r="AS39" s="13" t="s">
        <v>15</v>
      </c>
      <c r="AT39" s="11">
        <v>1728000</v>
      </c>
      <c r="AU39" s="12">
        <v>0</v>
      </c>
      <c r="AV39" s="99">
        <f t="shared" ref="AV39:AV41" si="82">AT39+AU39</f>
        <v>1728000</v>
      </c>
      <c r="AW39" s="100"/>
      <c r="AY39" s="9" t="s">
        <v>42</v>
      </c>
      <c r="AZ39" s="13" t="s">
        <v>15</v>
      </c>
      <c r="BA39" s="11">
        <v>2563200</v>
      </c>
      <c r="BB39" s="12">
        <v>487008</v>
      </c>
      <c r="BC39" s="99">
        <v>3050208</v>
      </c>
      <c r="BD39" s="100"/>
      <c r="BF39" s="9" t="s">
        <v>42</v>
      </c>
      <c r="BG39" s="13" t="s">
        <v>15</v>
      </c>
      <c r="BH39" s="11">
        <v>3480000</v>
      </c>
      <c r="BI39" s="12">
        <v>0</v>
      </c>
      <c r="BJ39" s="99">
        <f>BH39+BI39</f>
        <v>3480000</v>
      </c>
      <c r="BK39" s="100"/>
      <c r="BM39" s="54" t="s">
        <v>42</v>
      </c>
      <c r="BN39" s="58" t="s">
        <v>15</v>
      </c>
      <c r="BO39" s="56">
        <v>3000000</v>
      </c>
      <c r="BP39" s="57">
        <v>0</v>
      </c>
      <c r="BQ39" s="93">
        <f t="shared" si="75"/>
        <v>3000000</v>
      </c>
      <c r="BR39" s="94"/>
      <c r="BT39" s="85" t="s">
        <v>42</v>
      </c>
      <c r="BU39" s="13" t="s">
        <v>15</v>
      </c>
      <c r="BV39" s="11">
        <v>2200000</v>
      </c>
      <c r="BW39" s="12">
        <v>0</v>
      </c>
      <c r="BX39" s="99">
        <f t="shared" ref="BX39:BX41" si="83">BV39+BW39</f>
        <v>2200000</v>
      </c>
      <c r="BY39" s="100"/>
      <c r="CA39" s="9" t="s">
        <v>42</v>
      </c>
      <c r="CB39" s="13" t="s">
        <v>15</v>
      </c>
      <c r="CC39" s="11">
        <v>3067222.2222222164</v>
      </c>
      <c r="CD39" s="12">
        <f>CC39*0.19</f>
        <v>582772.22222222108</v>
      </c>
      <c r="CE39" s="99">
        <f t="shared" ref="CE39:CE41" si="84">CC39+CD39</f>
        <v>3649994.4444444375</v>
      </c>
      <c r="CF39" s="100"/>
      <c r="CH39" s="70" t="s">
        <v>42</v>
      </c>
      <c r="CI39" s="71" t="s">
        <v>15</v>
      </c>
      <c r="CJ39" s="72">
        <f t="shared" ref="CJ39:CJ41" si="85">+MAX(F39,M39,T39,AA39,AH39,AO39,AV39,BC39,BJ39,BQ39,BX39,CE39)</f>
        <v>7725000</v>
      </c>
      <c r="CK39" s="72">
        <f t="shared" ref="CK39:CK41" si="86">+MIN(F39,M39,T39,AA39,AH39,AO39,AV39,BC39,BJ39,BQ39,BX39,CE39)</f>
        <v>1165000</v>
      </c>
      <c r="CL39" s="72">
        <f t="shared" ref="CL39:CL41" si="87">+AVERAGE(F39,M39,T39,AA39,AH39,AO39,AV39,BC39,BJ39,BQ39,BX39,CE39)</f>
        <v>3079882.3162240889</v>
      </c>
      <c r="CM39" s="72">
        <f>+TRIMMEAN((F39,M39,T39,AA39,AH39,AO39,AV39,BC39,BJ39,BQ39,BX39,CE39),(2/12))</f>
        <v>2806858.7794689061</v>
      </c>
      <c r="CN39" s="72">
        <f t="shared" ref="CN39:CN41" si="88">+MEDIAN(F39,M39,T39,AA39,AH39,AO39,AV39,BC39,BJ39,BQ39,BX39,CE39)</f>
        <v>2875000</v>
      </c>
      <c r="CO39" s="86" t="str">
        <f t="shared" ref="CO39:CO41" si="89">IFERROR(MODE(F39,M39,T39,AA39,AH39,AO39,AV39,BC39,BJ39,BQ39,BX39,CE39),"N/A")</f>
        <v>N/A</v>
      </c>
      <c r="CP39" s="89">
        <f>+STDEV(F39,M39,T39,AA39,AH39,AO39,AV39,BC39,BJ39,BQ39,BX39,CE39)/CL39</f>
        <v>0.54474349847996595</v>
      </c>
      <c r="CQ39" t="s">
        <v>176</v>
      </c>
      <c r="CR39" t="s">
        <v>165</v>
      </c>
    </row>
    <row r="40" spans="1:96" x14ac:dyDescent="0.2">
      <c r="A40" s="126"/>
      <c r="B40" s="9" t="s">
        <v>43</v>
      </c>
      <c r="C40" s="13" t="s">
        <v>17</v>
      </c>
      <c r="D40" s="11">
        <v>3200000</v>
      </c>
      <c r="E40" s="12">
        <f t="shared" si="76"/>
        <v>608000</v>
      </c>
      <c r="F40" s="99">
        <f t="shared" si="77"/>
        <v>3808000</v>
      </c>
      <c r="G40" s="100"/>
      <c r="I40" s="9" t="s">
        <v>43</v>
      </c>
      <c r="J40" s="13" t="s">
        <v>17</v>
      </c>
      <c r="K40" s="11">
        <v>2590000</v>
      </c>
      <c r="L40" s="12">
        <v>0</v>
      </c>
      <c r="M40" s="114">
        <f t="shared" si="78"/>
        <v>2590000</v>
      </c>
      <c r="N40" s="115"/>
      <c r="P40" s="9" t="s">
        <v>43</v>
      </c>
      <c r="Q40" s="13" t="s">
        <v>17</v>
      </c>
      <c r="R40" s="11">
        <f>2166000</f>
        <v>2166000</v>
      </c>
      <c r="S40" s="12">
        <v>0</v>
      </c>
      <c r="T40" s="114">
        <f t="shared" si="79"/>
        <v>2166000</v>
      </c>
      <c r="U40" s="115"/>
      <c r="W40" s="9" t="s">
        <v>43</v>
      </c>
      <c r="X40" s="13" t="s">
        <v>17</v>
      </c>
      <c r="Y40" s="11">
        <v>575000000</v>
      </c>
      <c r="Z40" s="12">
        <v>0</v>
      </c>
      <c r="AA40" s="114">
        <f>+Y40/500</f>
        <v>1150000</v>
      </c>
      <c r="AB40" s="115"/>
      <c r="AD40" s="9" t="s">
        <v>43</v>
      </c>
      <c r="AE40" s="13" t="s">
        <v>17</v>
      </c>
      <c r="AF40" s="11">
        <v>1983744.3173990906</v>
      </c>
      <c r="AG40" s="12">
        <v>0</v>
      </c>
      <c r="AH40" s="114">
        <f t="shared" si="80"/>
        <v>1983744.3173990906</v>
      </c>
      <c r="AI40" s="115"/>
      <c r="AK40" s="9" t="s">
        <v>43</v>
      </c>
      <c r="AL40" s="13" t="s">
        <v>17</v>
      </c>
      <c r="AM40" s="11">
        <v>7350000</v>
      </c>
      <c r="AN40" s="12">
        <v>0</v>
      </c>
      <c r="AO40" s="99">
        <f t="shared" si="81"/>
        <v>7350000</v>
      </c>
      <c r="AP40" s="100"/>
      <c r="AR40" s="9" t="s">
        <v>43</v>
      </c>
      <c r="AS40" s="13" t="s">
        <v>17</v>
      </c>
      <c r="AT40" s="11">
        <v>1400000</v>
      </c>
      <c r="AU40" s="12">
        <v>0</v>
      </c>
      <c r="AV40" s="99">
        <f t="shared" si="82"/>
        <v>1400000</v>
      </c>
      <c r="AW40" s="100"/>
      <c r="AY40" s="9" t="s">
        <v>43</v>
      </c>
      <c r="AZ40" s="13" t="s">
        <v>17</v>
      </c>
      <c r="BA40" s="11">
        <v>2552400</v>
      </c>
      <c r="BB40" s="12">
        <v>484956</v>
      </c>
      <c r="BC40" s="99">
        <v>3037356</v>
      </c>
      <c r="BD40" s="100"/>
      <c r="BF40" s="9" t="s">
        <v>43</v>
      </c>
      <c r="BG40" s="13" t="s">
        <v>17</v>
      </c>
      <c r="BH40" s="11">
        <v>3270000</v>
      </c>
      <c r="BI40" s="12">
        <v>0</v>
      </c>
      <c r="BJ40" s="99">
        <f>BH40+BI40</f>
        <v>3270000</v>
      </c>
      <c r="BK40" s="100"/>
      <c r="BM40" s="54" t="s">
        <v>43</v>
      </c>
      <c r="BN40" s="58" t="s">
        <v>17</v>
      </c>
      <c r="BO40" s="56">
        <v>3000000</v>
      </c>
      <c r="BP40" s="57">
        <v>0</v>
      </c>
      <c r="BQ40" s="93">
        <f t="shared" si="75"/>
        <v>3000000</v>
      </c>
      <c r="BR40" s="94"/>
      <c r="BT40" s="85" t="s">
        <v>43</v>
      </c>
      <c r="BU40" s="13" t="s">
        <v>17</v>
      </c>
      <c r="BV40" s="11">
        <v>2000000</v>
      </c>
      <c r="BW40" s="12">
        <v>0</v>
      </c>
      <c r="BX40" s="99">
        <f t="shared" si="83"/>
        <v>2000000</v>
      </c>
      <c r="BY40" s="100"/>
      <c r="CA40" s="9" t="s">
        <v>43</v>
      </c>
      <c r="CB40" s="13" t="s">
        <v>17</v>
      </c>
      <c r="CC40" s="11">
        <v>3067222.2222222164</v>
      </c>
      <c r="CD40" s="12">
        <f>CC40*0.19</f>
        <v>582772.22222222108</v>
      </c>
      <c r="CE40" s="99">
        <f t="shared" si="84"/>
        <v>3649994.4444444375</v>
      </c>
      <c r="CF40" s="100"/>
      <c r="CH40" s="70" t="s">
        <v>43</v>
      </c>
      <c r="CI40" s="71" t="s">
        <v>17</v>
      </c>
      <c r="CJ40" s="72">
        <f t="shared" si="85"/>
        <v>7350000</v>
      </c>
      <c r="CK40" s="72">
        <f t="shared" si="86"/>
        <v>1150000</v>
      </c>
      <c r="CL40" s="72">
        <f t="shared" si="87"/>
        <v>2950424.5634869612</v>
      </c>
      <c r="CM40" s="72">
        <f>+TRIMMEAN((F40,M40,T40,AA40,AH40,AO40,AV40,BC40,BJ40,BQ40,BX40,CE40),(2/12))</f>
        <v>2690509.4761843528</v>
      </c>
      <c r="CN40" s="72">
        <f t="shared" si="88"/>
        <v>2795000</v>
      </c>
      <c r="CO40" s="86" t="str">
        <f t="shared" si="89"/>
        <v>N/A</v>
      </c>
      <c r="CP40" s="89">
        <f>+STDEV(F40,M40,T40,AA40,AH40,AO40,AV40,BC40,BJ40,BQ40,BX40,CE40)/CL40</f>
        <v>0.54957913190094565</v>
      </c>
      <c r="CQ40" t="s">
        <v>176</v>
      </c>
      <c r="CR40" t="s">
        <v>165</v>
      </c>
    </row>
    <row r="41" spans="1:96" ht="17" thickBot="1" x14ac:dyDescent="0.25">
      <c r="A41" s="127"/>
      <c r="B41" s="9" t="s">
        <v>44</v>
      </c>
      <c r="C41" s="14" t="s">
        <v>19</v>
      </c>
      <c r="D41" s="11">
        <v>2895000</v>
      </c>
      <c r="E41" s="12">
        <f t="shared" si="76"/>
        <v>550050</v>
      </c>
      <c r="F41" s="99">
        <f t="shared" si="77"/>
        <v>3445050</v>
      </c>
      <c r="G41" s="100"/>
      <c r="I41" s="9" t="s">
        <v>44</v>
      </c>
      <c r="J41" s="14" t="s">
        <v>19</v>
      </c>
      <c r="K41" s="11">
        <v>2500000</v>
      </c>
      <c r="L41" s="12">
        <v>0</v>
      </c>
      <c r="M41" s="114">
        <f t="shared" si="78"/>
        <v>2500000</v>
      </c>
      <c r="N41" s="115"/>
      <c r="P41" s="26" t="s">
        <v>44</v>
      </c>
      <c r="Q41" s="32" t="s">
        <v>19</v>
      </c>
      <c r="R41" s="33">
        <f>2057000</f>
        <v>2057000</v>
      </c>
      <c r="S41" s="27">
        <v>0</v>
      </c>
      <c r="T41" s="119">
        <f t="shared" si="79"/>
        <v>2057000</v>
      </c>
      <c r="U41" s="120"/>
      <c r="W41" s="9" t="s">
        <v>44</v>
      </c>
      <c r="X41" s="14" t="s">
        <v>19</v>
      </c>
      <c r="Y41" s="11">
        <v>575000000</v>
      </c>
      <c r="Z41" s="12">
        <v>0</v>
      </c>
      <c r="AA41" s="114">
        <f>+Y41/500</f>
        <v>1150000</v>
      </c>
      <c r="AB41" s="115"/>
      <c r="AD41" s="9" t="s">
        <v>44</v>
      </c>
      <c r="AE41" s="14" t="s">
        <v>19</v>
      </c>
      <c r="AF41" s="11">
        <v>1964484.6638321092</v>
      </c>
      <c r="AG41" s="12">
        <v>0</v>
      </c>
      <c r="AH41" s="114">
        <f t="shared" si="80"/>
        <v>1964484.6638321092</v>
      </c>
      <c r="AI41" s="115"/>
      <c r="AK41" s="9" t="s">
        <v>44</v>
      </c>
      <c r="AL41" s="14" t="s">
        <v>179</v>
      </c>
      <c r="AM41" s="11">
        <v>6790000</v>
      </c>
      <c r="AN41" s="12">
        <v>0</v>
      </c>
      <c r="AO41" s="99">
        <f t="shared" si="81"/>
        <v>6790000</v>
      </c>
      <c r="AP41" s="100"/>
      <c r="AR41" s="9" t="s">
        <v>44</v>
      </c>
      <c r="AS41" s="14" t="s">
        <v>19</v>
      </c>
      <c r="AT41" s="11">
        <v>1200000</v>
      </c>
      <c r="AU41" s="12">
        <v>0</v>
      </c>
      <c r="AV41" s="99">
        <f t="shared" si="82"/>
        <v>1200000</v>
      </c>
      <c r="AW41" s="100"/>
      <c r="AY41" s="9" t="s">
        <v>44</v>
      </c>
      <c r="AZ41" s="14" t="s">
        <v>19</v>
      </c>
      <c r="BA41" s="11">
        <v>2538000</v>
      </c>
      <c r="BB41" s="12">
        <v>482220</v>
      </c>
      <c r="BC41" s="99">
        <v>3020220</v>
      </c>
      <c r="BD41" s="100"/>
      <c r="BF41" s="9" t="s">
        <v>44</v>
      </c>
      <c r="BG41" s="14" t="s">
        <v>19</v>
      </c>
      <c r="BH41" s="11">
        <v>3100000</v>
      </c>
      <c r="BI41" s="12">
        <v>0</v>
      </c>
      <c r="BJ41" s="99">
        <f>BH41+BI41</f>
        <v>3100000</v>
      </c>
      <c r="BK41" s="100"/>
      <c r="BM41" s="54" t="s">
        <v>44</v>
      </c>
      <c r="BN41" s="83" t="s">
        <v>19</v>
      </c>
      <c r="BO41" s="67">
        <v>3000000</v>
      </c>
      <c r="BP41" s="57">
        <v>0</v>
      </c>
      <c r="BQ41" s="93">
        <f t="shared" si="75"/>
        <v>3000000</v>
      </c>
      <c r="BR41" s="94"/>
      <c r="BT41" s="85" t="s">
        <v>44</v>
      </c>
      <c r="BU41" s="14" t="s">
        <v>19</v>
      </c>
      <c r="BV41" s="11">
        <v>2000000</v>
      </c>
      <c r="BW41" s="12">
        <v>0</v>
      </c>
      <c r="BX41" s="99">
        <f t="shared" si="83"/>
        <v>2000000</v>
      </c>
      <c r="BY41" s="100"/>
      <c r="CA41" s="9" t="s">
        <v>44</v>
      </c>
      <c r="CB41" s="14" t="s">
        <v>19</v>
      </c>
      <c r="CC41" s="11">
        <v>2002222.2222222167</v>
      </c>
      <c r="CD41" s="12">
        <f>CC41*0.19</f>
        <v>380422.22222222114</v>
      </c>
      <c r="CE41" s="99">
        <f t="shared" si="84"/>
        <v>2382644.444444438</v>
      </c>
      <c r="CF41" s="100"/>
      <c r="CH41" s="70" t="s">
        <v>44</v>
      </c>
      <c r="CI41" s="71" t="s">
        <v>19</v>
      </c>
      <c r="CJ41" s="72">
        <f t="shared" si="85"/>
        <v>6790000</v>
      </c>
      <c r="CK41" s="72">
        <f t="shared" si="86"/>
        <v>1150000</v>
      </c>
      <c r="CL41" s="72">
        <f t="shared" si="87"/>
        <v>2717449.9256897122</v>
      </c>
      <c r="CM41" s="72">
        <f>+TRIMMEAN((F41,M41,T41,AA41,AH41,AO41,AV41,BC41,BJ41,BQ41,BX41,CE41),(2/12))</f>
        <v>2466939.9108276544</v>
      </c>
      <c r="CN41" s="72">
        <f t="shared" si="88"/>
        <v>2441322.2222222192</v>
      </c>
      <c r="CO41" s="86" t="str">
        <f t="shared" si="89"/>
        <v>N/A</v>
      </c>
      <c r="CP41" s="89">
        <f>+STDEV(F41,M41,T41,AA41,AH41,AO41,AV41,BC41,BJ41,BQ41,BX41,CE41)/CL41</f>
        <v>0.54208312163550354</v>
      </c>
      <c r="CQ41" t="s">
        <v>176</v>
      </c>
      <c r="CR41" t="s">
        <v>165</v>
      </c>
    </row>
    <row r="44" spans="1:96" x14ac:dyDescent="0.2">
      <c r="CO44" s="91" t="s">
        <v>289</v>
      </c>
      <c r="CP44" s="90">
        <f>+MIN(CP8:CP41)</f>
        <v>0.54208312163550354</v>
      </c>
    </row>
    <row r="45" spans="1:96" x14ac:dyDescent="0.2">
      <c r="CO45" s="91" t="s">
        <v>290</v>
      </c>
      <c r="CP45" s="90">
        <f>+MAX(CP8:CP41)</f>
        <v>0.56208961927916978</v>
      </c>
    </row>
  </sheetData>
  <sheetProtection algorithmName="SHA-512" hashValue="+Cslvnz7aIBfI6cNA4azKv+TLgRjuRkGv4l8/gwmeQPCJTYn/rWozz5o5g1JZQSZjP5dV8nOWIYtAvs7sHbGbg==" saltValue="GCQtPuNKj4VlgT3NEH//4A==" spinCount="100000" sheet="1" formatCells="0" formatColumns="0" formatRows="0" insertColumns="0" insertRows="0" insertHyperlinks="0" deleteColumns="0" deleteRows="0" sort="0" autoFilter="0" pivotTables="0"/>
  <mergeCells count="454">
    <mergeCell ref="CE33:CF33"/>
    <mergeCell ref="CE34:CF34"/>
    <mergeCell ref="CE35:CF35"/>
    <mergeCell ref="CA36:CD36"/>
    <mergeCell ref="CE37:CF37"/>
    <mergeCell ref="CE38:CF38"/>
    <mergeCell ref="CE39:CF39"/>
    <mergeCell ref="CE40:CF40"/>
    <mergeCell ref="CE41:CF41"/>
    <mergeCell ref="CA24:CD24"/>
    <mergeCell ref="CE25:CF25"/>
    <mergeCell ref="CE26:CF26"/>
    <mergeCell ref="CE27:CF27"/>
    <mergeCell ref="CE28:CF28"/>
    <mergeCell ref="CE29:CF29"/>
    <mergeCell ref="CA30:CD30"/>
    <mergeCell ref="CE31:CF31"/>
    <mergeCell ref="CE32:CF32"/>
    <mergeCell ref="BX39:BY39"/>
    <mergeCell ref="BX40:BY40"/>
    <mergeCell ref="BX41:BY41"/>
    <mergeCell ref="CA1:CE1"/>
    <mergeCell ref="CA2:CE2"/>
    <mergeCell ref="CA3:CE3"/>
    <mergeCell ref="CA6:CD6"/>
    <mergeCell ref="CE7:CF7"/>
    <mergeCell ref="CE8:CF8"/>
    <mergeCell ref="CE9:CF9"/>
    <mergeCell ref="CE10:CF10"/>
    <mergeCell ref="CE11:CF11"/>
    <mergeCell ref="CA12:CD12"/>
    <mergeCell ref="CE13:CF13"/>
    <mergeCell ref="CE14:CF14"/>
    <mergeCell ref="CE15:CF15"/>
    <mergeCell ref="CE16:CF16"/>
    <mergeCell ref="CE17:CF17"/>
    <mergeCell ref="CA18:CD18"/>
    <mergeCell ref="CE19:CF19"/>
    <mergeCell ref="CE20:CF20"/>
    <mergeCell ref="CE21:CF21"/>
    <mergeCell ref="CE22:CF22"/>
    <mergeCell ref="CE23:CF23"/>
    <mergeCell ref="BT30:BW30"/>
    <mergeCell ref="BX31:BY31"/>
    <mergeCell ref="BX32:BY32"/>
    <mergeCell ref="BX33:BY33"/>
    <mergeCell ref="BX34:BY34"/>
    <mergeCell ref="BX35:BY35"/>
    <mergeCell ref="BT36:BW36"/>
    <mergeCell ref="BX37:BY37"/>
    <mergeCell ref="BX38:BY38"/>
    <mergeCell ref="BX21:BY21"/>
    <mergeCell ref="BX22:BY22"/>
    <mergeCell ref="BX23:BY23"/>
    <mergeCell ref="BT24:BW24"/>
    <mergeCell ref="BX25:BY25"/>
    <mergeCell ref="BX26:BY26"/>
    <mergeCell ref="BX27:BY27"/>
    <mergeCell ref="BX28:BY28"/>
    <mergeCell ref="BX29:BY29"/>
    <mergeCell ref="BT12:BW12"/>
    <mergeCell ref="BX13:BY13"/>
    <mergeCell ref="BX14:BY14"/>
    <mergeCell ref="BX15:BY15"/>
    <mergeCell ref="BX16:BY16"/>
    <mergeCell ref="BX17:BY17"/>
    <mergeCell ref="BT18:BW18"/>
    <mergeCell ref="BX19:BY19"/>
    <mergeCell ref="BX20:BY20"/>
    <mergeCell ref="BT1:BX1"/>
    <mergeCell ref="BT2:BX2"/>
    <mergeCell ref="BT3:BX3"/>
    <mergeCell ref="BT6:BW6"/>
    <mergeCell ref="BX7:BY7"/>
    <mergeCell ref="BX8:BY8"/>
    <mergeCell ref="BX9:BY9"/>
    <mergeCell ref="BX10:BY10"/>
    <mergeCell ref="BX11:BY11"/>
    <mergeCell ref="A14:A17"/>
    <mergeCell ref="F14:G14"/>
    <mergeCell ref="F15:G15"/>
    <mergeCell ref="F16:G16"/>
    <mergeCell ref="F17:G17"/>
    <mergeCell ref="A5:G5"/>
    <mergeCell ref="B6:E6"/>
    <mergeCell ref="F7:G7"/>
    <mergeCell ref="A8:A11"/>
    <mergeCell ref="F8:G8"/>
    <mergeCell ref="F9:G9"/>
    <mergeCell ref="F10:G10"/>
    <mergeCell ref="F11:G11"/>
    <mergeCell ref="A26:A29"/>
    <mergeCell ref="F26:G26"/>
    <mergeCell ref="F27:G27"/>
    <mergeCell ref="F28:G28"/>
    <mergeCell ref="F29:G29"/>
    <mergeCell ref="B18:E18"/>
    <mergeCell ref="F19:G19"/>
    <mergeCell ref="A20:A23"/>
    <mergeCell ref="F20:G20"/>
    <mergeCell ref="F21:G21"/>
    <mergeCell ref="F22:G22"/>
    <mergeCell ref="F23:G23"/>
    <mergeCell ref="A38:A41"/>
    <mergeCell ref="F38:G38"/>
    <mergeCell ref="F39:G39"/>
    <mergeCell ref="F40:G40"/>
    <mergeCell ref="F41:G41"/>
    <mergeCell ref="B30:E30"/>
    <mergeCell ref="F31:G31"/>
    <mergeCell ref="A32:A35"/>
    <mergeCell ref="F32:G32"/>
    <mergeCell ref="F33:G33"/>
    <mergeCell ref="F34:G34"/>
    <mergeCell ref="F35:G35"/>
    <mergeCell ref="M9:N9"/>
    <mergeCell ref="M11:N11"/>
    <mergeCell ref="B1:G1"/>
    <mergeCell ref="B2:G2"/>
    <mergeCell ref="B3:G3"/>
    <mergeCell ref="M7:N7"/>
    <mergeCell ref="M8:N8"/>
    <mergeCell ref="B36:E36"/>
    <mergeCell ref="F37:G37"/>
    <mergeCell ref="B24:E24"/>
    <mergeCell ref="F25:G25"/>
    <mergeCell ref="B12:E12"/>
    <mergeCell ref="F13:G13"/>
    <mergeCell ref="M40:N40"/>
    <mergeCell ref="M41:N41"/>
    <mergeCell ref="I1:N1"/>
    <mergeCell ref="I2:N2"/>
    <mergeCell ref="I3:N3"/>
    <mergeCell ref="M38:N38"/>
    <mergeCell ref="M39:N39"/>
    <mergeCell ref="M10:N10"/>
    <mergeCell ref="M16:N16"/>
    <mergeCell ref="M22:N22"/>
    <mergeCell ref="M28:N28"/>
    <mergeCell ref="M34:N34"/>
    <mergeCell ref="M32:N32"/>
    <mergeCell ref="M33:N33"/>
    <mergeCell ref="M35:N35"/>
    <mergeCell ref="M26:N26"/>
    <mergeCell ref="M27:N27"/>
    <mergeCell ref="M29:N29"/>
    <mergeCell ref="M20:N20"/>
    <mergeCell ref="M21:N21"/>
    <mergeCell ref="M23:N23"/>
    <mergeCell ref="M14:N14"/>
    <mergeCell ref="M15:N15"/>
    <mergeCell ref="M17:N17"/>
    <mergeCell ref="P12:S12"/>
    <mergeCell ref="T13:U13"/>
    <mergeCell ref="T14:U14"/>
    <mergeCell ref="P1:T1"/>
    <mergeCell ref="P2:T2"/>
    <mergeCell ref="P3:T3"/>
    <mergeCell ref="P6:S6"/>
    <mergeCell ref="T7:U7"/>
    <mergeCell ref="T8:U8"/>
    <mergeCell ref="P24:S24"/>
    <mergeCell ref="T25:U25"/>
    <mergeCell ref="T26:U26"/>
    <mergeCell ref="T15:U15"/>
    <mergeCell ref="T16:U16"/>
    <mergeCell ref="T17:U17"/>
    <mergeCell ref="P18:S18"/>
    <mergeCell ref="T19:U19"/>
    <mergeCell ref="T20:U20"/>
    <mergeCell ref="P36:S36"/>
    <mergeCell ref="T37:U37"/>
    <mergeCell ref="T38:U38"/>
    <mergeCell ref="T27:U27"/>
    <mergeCell ref="T28:U28"/>
    <mergeCell ref="T29:U29"/>
    <mergeCell ref="P30:S30"/>
    <mergeCell ref="T31:U31"/>
    <mergeCell ref="T32:U32"/>
    <mergeCell ref="AA10:AB10"/>
    <mergeCell ref="AA14:AB14"/>
    <mergeCell ref="AA15:AB15"/>
    <mergeCell ref="T39:U39"/>
    <mergeCell ref="T40:U40"/>
    <mergeCell ref="T41:U41"/>
    <mergeCell ref="W1:AA1"/>
    <mergeCell ref="W2:AA2"/>
    <mergeCell ref="W3:AA3"/>
    <mergeCell ref="AA7:AB7"/>
    <mergeCell ref="AA8:AB8"/>
    <mergeCell ref="AA9:AB9"/>
    <mergeCell ref="T33:U33"/>
    <mergeCell ref="T34:U34"/>
    <mergeCell ref="T35:U35"/>
    <mergeCell ref="T21:U21"/>
    <mergeCell ref="T22:U22"/>
    <mergeCell ref="T23:U23"/>
    <mergeCell ref="T9:U9"/>
    <mergeCell ref="T10:U10"/>
    <mergeCell ref="T11:U11"/>
    <mergeCell ref="AA28:AB28"/>
    <mergeCell ref="AA32:AB32"/>
    <mergeCell ref="AA33:AB33"/>
    <mergeCell ref="AA22:AB22"/>
    <mergeCell ref="AA26:AB26"/>
    <mergeCell ref="AA27:AB27"/>
    <mergeCell ref="AA16:AB16"/>
    <mergeCell ref="AA20:AB20"/>
    <mergeCell ref="AA21:AB21"/>
    <mergeCell ref="AD12:AG12"/>
    <mergeCell ref="AH13:AI13"/>
    <mergeCell ref="AH14:AI14"/>
    <mergeCell ref="AH15:AI15"/>
    <mergeCell ref="AH16:AI16"/>
    <mergeCell ref="AH17:AI17"/>
    <mergeCell ref="AD18:AG18"/>
    <mergeCell ref="AH19:AI19"/>
    <mergeCell ref="AH20:AI20"/>
    <mergeCell ref="AH21:AI21"/>
    <mergeCell ref="AH22:AI22"/>
    <mergeCell ref="AA41:AB41"/>
    <mergeCell ref="W6:Z6"/>
    <mergeCell ref="AD1:AH1"/>
    <mergeCell ref="AD2:AH2"/>
    <mergeCell ref="AD3:AH3"/>
    <mergeCell ref="AD6:AG6"/>
    <mergeCell ref="AH7:AI7"/>
    <mergeCell ref="AH8:AI8"/>
    <mergeCell ref="AH9:AI9"/>
    <mergeCell ref="AH10:AI10"/>
    <mergeCell ref="AA40:AB40"/>
    <mergeCell ref="AA11:AB11"/>
    <mergeCell ref="AA17:AB17"/>
    <mergeCell ref="AA23:AB23"/>
    <mergeCell ref="AA29:AB29"/>
    <mergeCell ref="AA35:AB35"/>
    <mergeCell ref="AA34:AB34"/>
    <mergeCell ref="AA38:AB38"/>
    <mergeCell ref="AA39:AB39"/>
    <mergeCell ref="AD24:AG24"/>
    <mergeCell ref="AH25:AI25"/>
    <mergeCell ref="AH26:AI26"/>
    <mergeCell ref="AH27:AI27"/>
    <mergeCell ref="AH28:AI28"/>
    <mergeCell ref="AD36:AG36"/>
    <mergeCell ref="AH37:AI37"/>
    <mergeCell ref="AH38:AI38"/>
    <mergeCell ref="AH39:AI39"/>
    <mergeCell ref="AH40:AI40"/>
    <mergeCell ref="AH29:AI29"/>
    <mergeCell ref="AD30:AG30"/>
    <mergeCell ref="AH31:AI31"/>
    <mergeCell ref="AH32:AI32"/>
    <mergeCell ref="AH33:AI33"/>
    <mergeCell ref="AH34:AI34"/>
    <mergeCell ref="AK12:AN12"/>
    <mergeCell ref="AO13:AP13"/>
    <mergeCell ref="AO14:AP14"/>
    <mergeCell ref="AO15:AP15"/>
    <mergeCell ref="AO16:AP16"/>
    <mergeCell ref="AH41:AI41"/>
    <mergeCell ref="AK1:AO1"/>
    <mergeCell ref="AK2:AO2"/>
    <mergeCell ref="AK3:AO3"/>
    <mergeCell ref="AK6:AN6"/>
    <mergeCell ref="AO7:AP7"/>
    <mergeCell ref="AO8:AP8"/>
    <mergeCell ref="AO9:AP9"/>
    <mergeCell ref="AO10:AP10"/>
    <mergeCell ref="AH35:AI35"/>
    <mergeCell ref="AH23:AI23"/>
    <mergeCell ref="AH11:AI11"/>
    <mergeCell ref="AK24:AN24"/>
    <mergeCell ref="AO25:AP25"/>
    <mergeCell ref="AO26:AP26"/>
    <mergeCell ref="AO27:AP27"/>
    <mergeCell ref="AO28:AP28"/>
    <mergeCell ref="AO17:AP17"/>
    <mergeCell ref="AK18:AN18"/>
    <mergeCell ref="AO19:AP19"/>
    <mergeCell ref="AO20:AP20"/>
    <mergeCell ref="AO21:AP21"/>
    <mergeCell ref="AO22:AP22"/>
    <mergeCell ref="AK36:AN36"/>
    <mergeCell ref="AO37:AP37"/>
    <mergeCell ref="AO38:AP38"/>
    <mergeCell ref="AO39:AP39"/>
    <mergeCell ref="AO40:AP40"/>
    <mergeCell ref="AO29:AP29"/>
    <mergeCell ref="AK30:AN30"/>
    <mergeCell ref="AO31:AP31"/>
    <mergeCell ref="AO32:AP32"/>
    <mergeCell ref="AO33:AP33"/>
    <mergeCell ref="AO34:AP34"/>
    <mergeCell ref="AR12:AU12"/>
    <mergeCell ref="AV13:AW13"/>
    <mergeCell ref="AV14:AW14"/>
    <mergeCell ref="AV15:AW15"/>
    <mergeCell ref="AV16:AW16"/>
    <mergeCell ref="AV17:AW17"/>
    <mergeCell ref="AO41:AP41"/>
    <mergeCell ref="AR1:AV1"/>
    <mergeCell ref="AR2:AV2"/>
    <mergeCell ref="AR3:AV3"/>
    <mergeCell ref="AR6:AU6"/>
    <mergeCell ref="AV7:AW7"/>
    <mergeCell ref="AV8:AW8"/>
    <mergeCell ref="AV9:AW9"/>
    <mergeCell ref="AV10:AW10"/>
    <mergeCell ref="AV11:AW11"/>
    <mergeCell ref="AO35:AP35"/>
    <mergeCell ref="AO23:AP23"/>
    <mergeCell ref="AO11:AP11"/>
    <mergeCell ref="AR24:AU24"/>
    <mergeCell ref="AV25:AW25"/>
    <mergeCell ref="AV26:AW26"/>
    <mergeCell ref="AV27:AW27"/>
    <mergeCell ref="AV28:AW28"/>
    <mergeCell ref="AV29:AW29"/>
    <mergeCell ref="AR18:AU18"/>
    <mergeCell ref="AV19:AW19"/>
    <mergeCell ref="AV20:AW20"/>
    <mergeCell ref="AV21:AW21"/>
    <mergeCell ref="AV22:AW22"/>
    <mergeCell ref="AV23:AW23"/>
    <mergeCell ref="AR36:AU36"/>
    <mergeCell ref="AV37:AW37"/>
    <mergeCell ref="AV38:AW38"/>
    <mergeCell ref="AV39:AW39"/>
    <mergeCell ref="AV40:AW40"/>
    <mergeCell ref="AV41:AW41"/>
    <mergeCell ref="AR30:AU30"/>
    <mergeCell ref="AV31:AW31"/>
    <mergeCell ref="AV32:AW32"/>
    <mergeCell ref="AV33:AW33"/>
    <mergeCell ref="AV34:AW34"/>
    <mergeCell ref="AV35:AW35"/>
    <mergeCell ref="AY12:BB12"/>
    <mergeCell ref="BC13:BD13"/>
    <mergeCell ref="BC14:BD14"/>
    <mergeCell ref="AY1:BC1"/>
    <mergeCell ref="AY2:BC2"/>
    <mergeCell ref="AY3:BC3"/>
    <mergeCell ref="AY6:BB6"/>
    <mergeCell ref="BC7:BD7"/>
    <mergeCell ref="BC8:BD8"/>
    <mergeCell ref="AY24:BB24"/>
    <mergeCell ref="BC25:BD25"/>
    <mergeCell ref="BC26:BD26"/>
    <mergeCell ref="BC15:BD15"/>
    <mergeCell ref="BC16:BD16"/>
    <mergeCell ref="BC17:BD17"/>
    <mergeCell ref="AY18:BB18"/>
    <mergeCell ref="BC19:BD19"/>
    <mergeCell ref="BC20:BD20"/>
    <mergeCell ref="AY36:BB36"/>
    <mergeCell ref="BC37:BD37"/>
    <mergeCell ref="BC38:BD38"/>
    <mergeCell ref="BC27:BD27"/>
    <mergeCell ref="BC28:BD28"/>
    <mergeCell ref="BC29:BD29"/>
    <mergeCell ref="AY30:BB30"/>
    <mergeCell ref="BC31:BD31"/>
    <mergeCell ref="BC32:BD32"/>
    <mergeCell ref="BF12:BI12"/>
    <mergeCell ref="BJ13:BK13"/>
    <mergeCell ref="BJ14:BK14"/>
    <mergeCell ref="BJ15:BK15"/>
    <mergeCell ref="BC39:BD39"/>
    <mergeCell ref="BC40:BD40"/>
    <mergeCell ref="BC41:BD41"/>
    <mergeCell ref="BF1:BJ1"/>
    <mergeCell ref="BF2:BJ2"/>
    <mergeCell ref="BF3:BJ3"/>
    <mergeCell ref="BF6:BI6"/>
    <mergeCell ref="BJ7:BK7"/>
    <mergeCell ref="BJ8:BK8"/>
    <mergeCell ref="BJ9:BK9"/>
    <mergeCell ref="BC33:BD33"/>
    <mergeCell ref="BC34:BD34"/>
    <mergeCell ref="BC35:BD35"/>
    <mergeCell ref="BC21:BD21"/>
    <mergeCell ref="BC22:BD22"/>
    <mergeCell ref="BC23:BD23"/>
    <mergeCell ref="BC9:BD9"/>
    <mergeCell ref="BC10:BD10"/>
    <mergeCell ref="BC11:BD11"/>
    <mergeCell ref="BF24:BI24"/>
    <mergeCell ref="BJ25:BK25"/>
    <mergeCell ref="BJ26:BK26"/>
    <mergeCell ref="BJ27:BK27"/>
    <mergeCell ref="BJ16:BK16"/>
    <mergeCell ref="BJ17:BK17"/>
    <mergeCell ref="BF18:BI18"/>
    <mergeCell ref="BJ19:BK19"/>
    <mergeCell ref="BJ20:BK20"/>
    <mergeCell ref="BJ21:BK21"/>
    <mergeCell ref="BF36:BI36"/>
    <mergeCell ref="BJ37:BK37"/>
    <mergeCell ref="BJ38:BK38"/>
    <mergeCell ref="BJ39:BK39"/>
    <mergeCell ref="BJ28:BK28"/>
    <mergeCell ref="BJ29:BK29"/>
    <mergeCell ref="BF30:BI30"/>
    <mergeCell ref="BJ31:BK31"/>
    <mergeCell ref="BJ32:BK32"/>
    <mergeCell ref="BJ33:BK33"/>
    <mergeCell ref="BQ11:BR11"/>
    <mergeCell ref="BM12:BP12"/>
    <mergeCell ref="BQ13:BR13"/>
    <mergeCell ref="BQ14:BR14"/>
    <mergeCell ref="BQ15:BR15"/>
    <mergeCell ref="BQ16:BR16"/>
    <mergeCell ref="BJ40:BK40"/>
    <mergeCell ref="BJ41:BK41"/>
    <mergeCell ref="BM1:BQ1"/>
    <mergeCell ref="BM2:BQ2"/>
    <mergeCell ref="BM3:BQ3"/>
    <mergeCell ref="BM6:BP6"/>
    <mergeCell ref="BQ7:BR7"/>
    <mergeCell ref="BQ8:BR8"/>
    <mergeCell ref="BQ9:BR9"/>
    <mergeCell ref="BQ10:BR10"/>
    <mergeCell ref="BJ34:BK34"/>
    <mergeCell ref="BJ35:BK35"/>
    <mergeCell ref="BJ22:BK22"/>
    <mergeCell ref="BJ23:BK23"/>
    <mergeCell ref="BJ10:BK10"/>
    <mergeCell ref="BJ11:BK11"/>
    <mergeCell ref="BQ23:BR23"/>
    <mergeCell ref="BM24:BP24"/>
    <mergeCell ref="BQ25:BR25"/>
    <mergeCell ref="BQ26:BR26"/>
    <mergeCell ref="BQ27:BR27"/>
    <mergeCell ref="BQ28:BR28"/>
    <mergeCell ref="BQ17:BR17"/>
    <mergeCell ref="BM18:BP18"/>
    <mergeCell ref="BQ19:BR19"/>
    <mergeCell ref="BQ20:BR20"/>
    <mergeCell ref="BQ21:BR21"/>
    <mergeCell ref="BQ22:BR22"/>
    <mergeCell ref="BQ41:BR41"/>
    <mergeCell ref="BQ35:BR35"/>
    <mergeCell ref="BM36:BP36"/>
    <mergeCell ref="BQ37:BR37"/>
    <mergeCell ref="BQ38:BR38"/>
    <mergeCell ref="BQ39:BR39"/>
    <mergeCell ref="BQ40:BR40"/>
    <mergeCell ref="BQ29:BR29"/>
    <mergeCell ref="BM30:BP30"/>
    <mergeCell ref="BQ31:BR31"/>
    <mergeCell ref="BQ32:BR32"/>
    <mergeCell ref="BQ33:BR33"/>
    <mergeCell ref="BQ34:BR34"/>
  </mergeCells>
  <hyperlinks>
    <hyperlink ref="B3" r:id="rId1" xr:uid="{F69DDB20-1EF4-714C-87FE-5D40F6759DA8}"/>
    <hyperlink ref="P3" r:id="rId2" xr:uid="{6385933A-EA99-9D40-B790-0C861F7520BC}"/>
    <hyperlink ref="W3" r:id="rId3" xr:uid="{9BC90E7B-E69C-7A4A-8826-6A29B958A629}"/>
    <hyperlink ref="AD3" r:id="rId4" xr:uid="{83E8E110-F4D4-1A48-88AC-196E8C020CF8}"/>
    <hyperlink ref="AK3" r:id="rId5" xr:uid="{5BC5F270-CE10-B247-A131-DDCA5E33024E}"/>
    <hyperlink ref="AR3" r:id="rId6" xr:uid="{07B16D65-42F2-3E47-A9E1-6879950BE794}"/>
    <hyperlink ref="BF3" r:id="rId7" xr:uid="{F844AD58-056A-A84C-8C1C-7A0E69522D40}"/>
    <hyperlink ref="BM3" r:id="rId8" display="gerencia@proyectamoscolombia.com" xr:uid="{EACE2E1E-6993-BF47-A9DF-091887239D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CF78-ED19-334B-9731-EFBFF3CD5B8E}">
  <dimension ref="A1:DF45"/>
  <sheetViews>
    <sheetView workbookViewId="0">
      <selection activeCell="DA46" sqref="DA46"/>
    </sheetView>
  </sheetViews>
  <sheetFormatPr baseColWidth="10" defaultRowHeight="16" x14ac:dyDescent="0.2"/>
  <cols>
    <col min="1" max="1" width="23.83203125" customWidth="1"/>
    <col min="2" max="2" width="8.33203125" bestFit="1" customWidth="1"/>
    <col min="3" max="3" width="22.5" bestFit="1" customWidth="1"/>
    <col min="4" max="4" width="14.5" bestFit="1" customWidth="1"/>
    <col min="5" max="5" width="13" bestFit="1" customWidth="1"/>
    <col min="6" max="6" width="8.5" customWidth="1"/>
    <col min="7" max="7" width="14.1640625" customWidth="1"/>
    <col min="8" max="8" width="2.83203125" customWidth="1"/>
    <col min="9" max="9" width="8.33203125" bestFit="1" customWidth="1"/>
    <col min="10" max="10" width="22.5" bestFit="1" customWidth="1"/>
    <col min="11" max="11" width="13.1640625" bestFit="1" customWidth="1"/>
    <col min="12" max="12" width="11" bestFit="1" customWidth="1"/>
    <col min="13" max="13" width="16.83203125" bestFit="1" customWidth="1"/>
    <col min="15" max="15" width="2.83203125" customWidth="1"/>
    <col min="18" max="18" width="13.33203125" bestFit="1" customWidth="1"/>
    <col min="19" max="19" width="11" bestFit="1" customWidth="1"/>
    <col min="22" max="22" width="2.83203125" customWidth="1"/>
    <col min="24" max="24" width="22.5" bestFit="1" customWidth="1"/>
    <col min="25" max="25" width="16.83203125" bestFit="1" customWidth="1"/>
    <col min="26" max="26" width="11" bestFit="1" customWidth="1"/>
    <col min="29" max="29" width="2.83203125" customWidth="1"/>
    <col min="31" max="31" width="22.5" bestFit="1" customWidth="1"/>
    <col min="32" max="32" width="13.1640625" bestFit="1" customWidth="1"/>
    <col min="33" max="33" width="11" bestFit="1" customWidth="1"/>
    <col min="36" max="36" width="2.83203125" customWidth="1"/>
    <col min="38" max="38" width="22.5" bestFit="1" customWidth="1"/>
    <col min="39" max="39" width="13.1640625" bestFit="1" customWidth="1"/>
    <col min="40" max="40" width="11.6640625" bestFit="1" customWidth="1"/>
    <col min="43" max="43" width="2.83203125" customWidth="1"/>
    <col min="45" max="45" width="22.5" bestFit="1" customWidth="1"/>
    <col min="46" max="46" width="13.1640625" bestFit="1" customWidth="1"/>
    <col min="47" max="47" width="11" bestFit="1" customWidth="1"/>
    <col min="50" max="50" width="2.83203125" customWidth="1"/>
    <col min="52" max="52" width="22.5" bestFit="1" customWidth="1"/>
    <col min="53" max="53" width="13.33203125" bestFit="1" customWidth="1"/>
    <col min="54" max="54" width="11" bestFit="1" customWidth="1"/>
    <col min="57" max="57" width="2.83203125" customWidth="1"/>
    <col min="59" max="59" width="22.5" bestFit="1" customWidth="1"/>
    <col min="60" max="60" width="13.1640625" bestFit="1" customWidth="1"/>
    <col min="61" max="61" width="11" bestFit="1" customWidth="1"/>
    <col min="64" max="64" width="2.83203125" customWidth="1"/>
    <col min="66" max="66" width="22.5" bestFit="1" customWidth="1"/>
    <col min="67" max="67" width="11.6640625" bestFit="1" customWidth="1"/>
    <col min="68" max="68" width="11" bestFit="1" customWidth="1"/>
    <col min="71" max="71" width="2.83203125" customWidth="1"/>
    <col min="73" max="73" width="22.5" bestFit="1" customWidth="1"/>
    <col min="74" max="74" width="13.1640625" bestFit="1" customWidth="1"/>
    <col min="75" max="75" width="11" bestFit="1" customWidth="1"/>
    <col min="78" max="78" width="2.83203125" customWidth="1"/>
    <col min="80" max="80" width="22.5" bestFit="1" customWidth="1"/>
    <col min="81" max="81" width="13.1640625" bestFit="1" customWidth="1"/>
    <col min="82" max="82" width="11.6640625" bestFit="1" customWidth="1"/>
    <col min="85" max="85" width="2.83203125" customWidth="1"/>
    <col min="87" max="87" width="22.5" bestFit="1" customWidth="1"/>
    <col min="88" max="88" width="13.1640625" bestFit="1" customWidth="1"/>
    <col min="89" max="89" width="11.6640625" bestFit="1" customWidth="1"/>
    <col min="92" max="92" width="2.83203125" customWidth="1"/>
    <col min="94" max="94" width="22.5" bestFit="1" customWidth="1"/>
    <col min="95" max="95" width="13.1640625" bestFit="1" customWidth="1"/>
    <col min="96" max="96" width="11.6640625" bestFit="1" customWidth="1"/>
    <col min="99" max="99" width="2.83203125" customWidth="1"/>
    <col min="100" max="107" width="20.83203125" customWidth="1"/>
    <col min="108" max="108" width="11.33203125" bestFit="1" customWidth="1"/>
    <col min="109" max="109" width="35.6640625" bestFit="1" customWidth="1"/>
    <col min="110" max="110" width="24.5" bestFit="1" customWidth="1"/>
  </cols>
  <sheetData>
    <row r="1" spans="1:110" ht="17" thickBot="1" x14ac:dyDescent="0.25">
      <c r="A1" t="s">
        <v>45</v>
      </c>
      <c r="B1" s="101" t="s">
        <v>46</v>
      </c>
      <c r="C1" s="101"/>
      <c r="D1" s="101"/>
      <c r="E1" s="101"/>
      <c r="F1" s="101"/>
      <c r="G1" s="101"/>
      <c r="I1" s="101" t="s">
        <v>157</v>
      </c>
      <c r="J1" s="101"/>
      <c r="K1" s="101"/>
      <c r="L1" s="101"/>
      <c r="M1" s="101"/>
      <c r="N1" s="101"/>
      <c r="P1" s="101" t="s">
        <v>159</v>
      </c>
      <c r="Q1" s="101"/>
      <c r="R1" s="101"/>
      <c r="S1" s="101"/>
      <c r="T1" s="101"/>
      <c r="W1" s="101" t="s">
        <v>165</v>
      </c>
      <c r="X1" s="101"/>
      <c r="Y1" s="101"/>
      <c r="Z1" s="101"/>
      <c r="AA1" s="101"/>
      <c r="AD1" s="101" t="s">
        <v>168</v>
      </c>
      <c r="AE1" s="101"/>
      <c r="AF1" s="101"/>
      <c r="AG1" s="101"/>
      <c r="AH1" s="101"/>
      <c r="AI1" s="7"/>
      <c r="AK1" s="101" t="s">
        <v>171</v>
      </c>
      <c r="AL1" s="101"/>
      <c r="AM1" s="101"/>
      <c r="AN1" s="101"/>
      <c r="AO1" s="101"/>
      <c r="AP1" s="7"/>
      <c r="AR1" s="101" t="s">
        <v>174</v>
      </c>
      <c r="AS1" s="101"/>
      <c r="AT1" s="101"/>
      <c r="AU1" s="101"/>
      <c r="AV1" s="101"/>
      <c r="AW1" s="7"/>
      <c r="AY1" s="101" t="s">
        <v>176</v>
      </c>
      <c r="AZ1" s="101"/>
      <c r="BA1" s="101"/>
      <c r="BB1" s="101"/>
      <c r="BC1" s="101"/>
      <c r="BD1" s="7"/>
      <c r="BF1" s="101" t="s">
        <v>180</v>
      </c>
      <c r="BG1" s="101"/>
      <c r="BH1" s="101"/>
      <c r="BI1" s="101"/>
      <c r="BJ1" s="101"/>
      <c r="BK1" s="7"/>
      <c r="BM1" s="101" t="s">
        <v>192</v>
      </c>
      <c r="BN1" s="101"/>
      <c r="BO1" s="101"/>
      <c r="BP1" s="101"/>
      <c r="BQ1" s="101"/>
      <c r="BR1" s="7"/>
      <c r="BT1" s="101" t="s">
        <v>195</v>
      </c>
      <c r="BU1" s="101"/>
      <c r="BV1" s="101"/>
      <c r="BW1" s="101"/>
      <c r="BX1" s="101"/>
      <c r="BY1" s="7"/>
      <c r="CA1" s="101" t="s">
        <v>281</v>
      </c>
      <c r="CB1" s="101"/>
      <c r="CC1" s="101"/>
      <c r="CD1" s="101"/>
      <c r="CE1" s="101"/>
      <c r="CF1" s="7"/>
      <c r="CH1" s="101" t="s">
        <v>280</v>
      </c>
      <c r="CI1" s="101"/>
      <c r="CJ1" s="101"/>
      <c r="CK1" s="101"/>
      <c r="CL1" s="101"/>
      <c r="CM1" s="7"/>
      <c r="CO1" s="101" t="s">
        <v>286</v>
      </c>
      <c r="CP1" s="101"/>
      <c r="CQ1" s="101"/>
      <c r="CR1" s="101"/>
      <c r="CS1" s="101"/>
      <c r="CT1" s="7"/>
      <c r="CV1" t="s">
        <v>274</v>
      </c>
    </row>
    <row r="2" spans="1:110" ht="17" thickBot="1" x14ac:dyDescent="0.25">
      <c r="A2" t="s">
        <v>47</v>
      </c>
      <c r="B2" s="101" t="s">
        <v>49</v>
      </c>
      <c r="C2" s="101"/>
      <c r="D2" s="101"/>
      <c r="E2" s="101"/>
      <c r="F2" s="101"/>
      <c r="G2" s="101"/>
      <c r="I2" s="101"/>
      <c r="J2" s="101"/>
      <c r="K2" s="101"/>
      <c r="L2" s="101"/>
      <c r="M2" s="101"/>
      <c r="N2" s="101"/>
      <c r="P2" s="101" t="s">
        <v>160</v>
      </c>
      <c r="Q2" s="101"/>
      <c r="R2" s="101"/>
      <c r="S2" s="101"/>
      <c r="T2" s="101"/>
      <c r="W2" s="101" t="s">
        <v>166</v>
      </c>
      <c r="X2" s="101"/>
      <c r="Y2" s="101"/>
      <c r="Z2" s="101"/>
      <c r="AA2" s="101"/>
      <c r="AD2" s="101" t="s">
        <v>169</v>
      </c>
      <c r="AE2" s="101"/>
      <c r="AF2" s="101"/>
      <c r="AG2" s="101"/>
      <c r="AH2" s="101"/>
      <c r="AI2" s="7"/>
      <c r="AK2" s="101" t="s">
        <v>172</v>
      </c>
      <c r="AL2" s="101"/>
      <c r="AM2" s="101"/>
      <c r="AN2" s="101"/>
      <c r="AO2" s="101"/>
      <c r="AP2" s="7"/>
      <c r="AR2" s="101">
        <v>9003504166</v>
      </c>
      <c r="AS2" s="101"/>
      <c r="AT2" s="101"/>
      <c r="AU2" s="101"/>
      <c r="AV2" s="101"/>
      <c r="AW2" s="7"/>
      <c r="AY2" s="101" t="s">
        <v>177</v>
      </c>
      <c r="AZ2" s="101"/>
      <c r="BA2" s="101"/>
      <c r="BB2" s="101"/>
      <c r="BC2" s="101"/>
      <c r="BD2" s="7"/>
      <c r="BF2" s="101" t="s">
        <v>181</v>
      </c>
      <c r="BG2" s="101"/>
      <c r="BH2" s="101"/>
      <c r="BI2" s="101"/>
      <c r="BJ2" s="101"/>
      <c r="BK2" s="7"/>
      <c r="BM2" s="101" t="s">
        <v>193</v>
      </c>
      <c r="BN2" s="101"/>
      <c r="BO2" s="101"/>
      <c r="BP2" s="101"/>
      <c r="BQ2" s="101"/>
      <c r="BR2" s="7"/>
      <c r="BT2" s="101" t="s">
        <v>196</v>
      </c>
      <c r="BU2" s="101"/>
      <c r="BV2" s="101"/>
      <c r="BW2" s="101"/>
      <c r="BX2" s="101"/>
      <c r="BY2" s="7"/>
      <c r="CA2" s="101" t="s">
        <v>282</v>
      </c>
      <c r="CB2" s="101"/>
      <c r="CC2" s="101"/>
      <c r="CD2" s="101"/>
      <c r="CE2" s="101"/>
      <c r="CF2" s="7"/>
      <c r="CH2" s="101" t="s">
        <v>284</v>
      </c>
      <c r="CI2" s="101"/>
      <c r="CJ2" s="101"/>
      <c r="CK2" s="101"/>
      <c r="CL2" s="101"/>
      <c r="CM2" s="7"/>
      <c r="CO2" s="101" t="s">
        <v>287</v>
      </c>
      <c r="CP2" s="101"/>
      <c r="CQ2" s="101"/>
      <c r="CR2" s="101"/>
      <c r="CS2" s="101"/>
      <c r="CT2" s="7"/>
    </row>
    <row r="3" spans="1:110" ht="17" thickBot="1" x14ac:dyDescent="0.25">
      <c r="A3" t="s">
        <v>48</v>
      </c>
      <c r="B3" s="102" t="s">
        <v>50</v>
      </c>
      <c r="C3" s="101"/>
      <c r="D3" s="101"/>
      <c r="E3" s="101"/>
      <c r="F3" s="101"/>
      <c r="G3" s="101"/>
      <c r="I3" s="102"/>
      <c r="J3" s="101"/>
      <c r="K3" s="101"/>
      <c r="L3" s="101"/>
      <c r="M3" s="101"/>
      <c r="N3" s="101"/>
      <c r="P3" s="102" t="s">
        <v>161</v>
      </c>
      <c r="Q3" s="101"/>
      <c r="R3" s="101"/>
      <c r="S3" s="101"/>
      <c r="T3" s="101"/>
      <c r="W3" s="102" t="s">
        <v>167</v>
      </c>
      <c r="X3" s="101"/>
      <c r="Y3" s="101"/>
      <c r="Z3" s="101"/>
      <c r="AA3" s="101"/>
      <c r="AD3" s="102" t="s">
        <v>170</v>
      </c>
      <c r="AE3" s="101"/>
      <c r="AF3" s="101"/>
      <c r="AG3" s="101"/>
      <c r="AH3" s="101"/>
      <c r="AI3" s="8"/>
      <c r="AK3" s="102" t="s">
        <v>173</v>
      </c>
      <c r="AL3" s="101"/>
      <c r="AM3" s="101"/>
      <c r="AN3" s="101"/>
      <c r="AO3" s="101"/>
      <c r="AP3" s="8"/>
      <c r="AR3" s="102" t="s">
        <v>175</v>
      </c>
      <c r="AS3" s="101"/>
      <c r="AT3" s="101"/>
      <c r="AU3" s="101"/>
      <c r="AV3" s="101"/>
      <c r="AW3" s="8"/>
      <c r="AY3" s="102" t="s">
        <v>178</v>
      </c>
      <c r="AZ3" s="101"/>
      <c r="BA3" s="101"/>
      <c r="BB3" s="101"/>
      <c r="BC3" s="101"/>
      <c r="BD3" s="8"/>
      <c r="BF3" s="102" t="s">
        <v>182</v>
      </c>
      <c r="BG3" s="101"/>
      <c r="BH3" s="101"/>
      <c r="BI3" s="101"/>
      <c r="BJ3" s="101"/>
      <c r="BK3" s="8"/>
      <c r="BM3" s="102" t="s">
        <v>194</v>
      </c>
      <c r="BN3" s="101"/>
      <c r="BO3" s="101"/>
      <c r="BP3" s="101"/>
      <c r="BQ3" s="101"/>
      <c r="BR3" s="8"/>
      <c r="BT3" s="102" t="s">
        <v>197</v>
      </c>
      <c r="BU3" s="101"/>
      <c r="BV3" s="101"/>
      <c r="BW3" s="101"/>
      <c r="BX3" s="101"/>
      <c r="BY3" s="8"/>
      <c r="CA3" s="102" t="s">
        <v>283</v>
      </c>
      <c r="CB3" s="101"/>
      <c r="CC3" s="101"/>
      <c r="CD3" s="101"/>
      <c r="CE3" s="101"/>
      <c r="CF3" s="8"/>
      <c r="CH3" s="102" t="s">
        <v>285</v>
      </c>
      <c r="CI3" s="101"/>
      <c r="CJ3" s="101"/>
      <c r="CK3" s="101"/>
      <c r="CL3" s="101"/>
      <c r="CM3" s="8"/>
      <c r="CO3" s="102" t="s">
        <v>288</v>
      </c>
      <c r="CP3" s="101"/>
      <c r="CQ3" s="101"/>
      <c r="CR3" s="101"/>
      <c r="CS3" s="101"/>
      <c r="CT3" s="8"/>
    </row>
    <row r="4" spans="1:110" ht="9" customHeight="1" thickBot="1" x14ac:dyDescent="0.25"/>
    <row r="5" spans="1:110" ht="17" thickBot="1" x14ac:dyDescent="0.25">
      <c r="A5" s="128" t="s">
        <v>51</v>
      </c>
      <c r="B5" s="129"/>
      <c r="C5" s="129"/>
      <c r="D5" s="129"/>
      <c r="E5" s="129"/>
      <c r="F5" s="129"/>
      <c r="G5" s="130"/>
    </row>
    <row r="6" spans="1:110" ht="31" customHeight="1" thickBot="1" x14ac:dyDescent="0.25">
      <c r="A6" s="1" t="s">
        <v>52</v>
      </c>
      <c r="B6" s="116" t="s">
        <v>53</v>
      </c>
      <c r="C6" s="117"/>
      <c r="D6" s="117"/>
      <c r="E6" s="118"/>
      <c r="F6" s="1" t="s">
        <v>3</v>
      </c>
      <c r="G6" s="2" t="s">
        <v>4</v>
      </c>
      <c r="I6" s="116" t="s">
        <v>53</v>
      </c>
      <c r="J6" s="117"/>
      <c r="K6" s="117"/>
      <c r="L6" s="118"/>
      <c r="M6" s="1" t="s">
        <v>3</v>
      </c>
      <c r="N6" s="2" t="s">
        <v>4</v>
      </c>
      <c r="P6" s="116" t="s">
        <v>53</v>
      </c>
      <c r="Q6" s="117"/>
      <c r="R6" s="117"/>
      <c r="S6" s="118"/>
      <c r="T6" s="1" t="s">
        <v>3</v>
      </c>
      <c r="U6" s="2" t="s">
        <v>4</v>
      </c>
      <c r="W6" s="116" t="s">
        <v>53</v>
      </c>
      <c r="X6" s="117"/>
      <c r="Y6" s="117"/>
      <c r="Z6" s="118"/>
      <c r="AA6" s="1" t="s">
        <v>3</v>
      </c>
      <c r="AB6" s="2" t="s">
        <v>4</v>
      </c>
      <c r="AD6" s="116" t="s">
        <v>53</v>
      </c>
      <c r="AE6" s="117"/>
      <c r="AF6" s="117"/>
      <c r="AG6" s="118"/>
      <c r="AH6" s="1" t="s">
        <v>3</v>
      </c>
      <c r="AI6" s="2" t="s">
        <v>4</v>
      </c>
      <c r="AK6" s="116" t="s">
        <v>53</v>
      </c>
      <c r="AL6" s="117"/>
      <c r="AM6" s="117"/>
      <c r="AN6" s="118"/>
      <c r="AO6" s="1" t="s">
        <v>3</v>
      </c>
      <c r="AP6" s="2" t="s">
        <v>4</v>
      </c>
      <c r="AR6" s="116" t="s">
        <v>53</v>
      </c>
      <c r="AS6" s="117"/>
      <c r="AT6" s="117"/>
      <c r="AU6" s="118"/>
      <c r="AV6" s="1" t="s">
        <v>3</v>
      </c>
      <c r="AW6" s="2" t="s">
        <v>4</v>
      </c>
      <c r="AY6" s="144" t="s">
        <v>53</v>
      </c>
      <c r="AZ6" s="145"/>
      <c r="BA6" s="145"/>
      <c r="BB6" s="146"/>
      <c r="BC6" s="40" t="s">
        <v>3</v>
      </c>
      <c r="BD6" s="41" t="s">
        <v>4</v>
      </c>
      <c r="BF6" s="95" t="s">
        <v>53</v>
      </c>
      <c r="BG6" s="96"/>
      <c r="BH6" s="96"/>
      <c r="BI6" s="97"/>
      <c r="BJ6" s="60" t="s">
        <v>3</v>
      </c>
      <c r="BK6" s="61" t="s">
        <v>4</v>
      </c>
      <c r="BM6" s="103" t="s">
        <v>53</v>
      </c>
      <c r="BN6" s="104"/>
      <c r="BO6" s="104"/>
      <c r="BP6" s="105"/>
      <c r="BQ6" s="18" t="s">
        <v>3</v>
      </c>
      <c r="BR6" s="19" t="s">
        <v>4</v>
      </c>
      <c r="BT6" s="103" t="s">
        <v>53</v>
      </c>
      <c r="BU6" s="104"/>
      <c r="BV6" s="104"/>
      <c r="BW6" s="105"/>
      <c r="BX6" s="18" t="s">
        <v>3</v>
      </c>
      <c r="BY6" s="19" t="s">
        <v>4</v>
      </c>
      <c r="CA6" s="95" t="s">
        <v>53</v>
      </c>
      <c r="CB6" s="96"/>
      <c r="CC6" s="96"/>
      <c r="CD6" s="97"/>
      <c r="CE6" s="60" t="s">
        <v>3</v>
      </c>
      <c r="CF6" s="61" t="s">
        <v>4</v>
      </c>
      <c r="CH6" s="103" t="s">
        <v>53</v>
      </c>
      <c r="CI6" s="104"/>
      <c r="CJ6" s="104"/>
      <c r="CK6" s="105"/>
      <c r="CL6" s="18" t="s">
        <v>3</v>
      </c>
      <c r="CM6" s="19" t="s">
        <v>4</v>
      </c>
      <c r="CO6" s="103" t="s">
        <v>53</v>
      </c>
      <c r="CP6" s="104"/>
      <c r="CQ6" s="104"/>
      <c r="CR6" s="105"/>
      <c r="CS6" s="18" t="s">
        <v>3</v>
      </c>
      <c r="CT6" s="19" t="s">
        <v>4</v>
      </c>
    </row>
    <row r="7" spans="1:110" ht="46" customHeight="1" thickBot="1" x14ac:dyDescent="0.25">
      <c r="A7" s="3" t="s">
        <v>5</v>
      </c>
      <c r="B7" s="3" t="s">
        <v>6</v>
      </c>
      <c r="C7" s="3" t="s">
        <v>7</v>
      </c>
      <c r="D7" s="3" t="s">
        <v>8</v>
      </c>
      <c r="E7" s="4" t="s">
        <v>9</v>
      </c>
      <c r="F7" s="123" t="s">
        <v>21</v>
      </c>
      <c r="G7" s="124"/>
      <c r="I7" s="3" t="s">
        <v>6</v>
      </c>
      <c r="J7" s="3" t="s">
        <v>7</v>
      </c>
      <c r="K7" s="3" t="s">
        <v>8</v>
      </c>
      <c r="L7" s="4" t="s">
        <v>9</v>
      </c>
      <c r="M7" s="5" t="s">
        <v>21</v>
      </c>
      <c r="N7" s="6"/>
      <c r="P7" s="3" t="s">
        <v>6</v>
      </c>
      <c r="Q7" s="3" t="s">
        <v>7</v>
      </c>
      <c r="R7" s="3" t="s">
        <v>8</v>
      </c>
      <c r="S7" s="4" t="s">
        <v>9</v>
      </c>
      <c r="T7" s="123" t="s">
        <v>21</v>
      </c>
      <c r="U7" s="124"/>
      <c r="W7" s="20" t="s">
        <v>6</v>
      </c>
      <c r="X7" s="20" t="s">
        <v>7</v>
      </c>
      <c r="Y7" s="20" t="s">
        <v>8</v>
      </c>
      <c r="Z7" s="21" t="s">
        <v>9</v>
      </c>
      <c r="AA7" s="106" t="s">
        <v>21</v>
      </c>
      <c r="AB7" s="107"/>
      <c r="AD7" s="20" t="s">
        <v>6</v>
      </c>
      <c r="AE7" s="20" t="s">
        <v>7</v>
      </c>
      <c r="AF7" s="20" t="s">
        <v>8</v>
      </c>
      <c r="AG7" s="21" t="s">
        <v>9</v>
      </c>
      <c r="AH7" s="106" t="s">
        <v>21</v>
      </c>
      <c r="AI7" s="107"/>
      <c r="AK7" s="20" t="s">
        <v>6</v>
      </c>
      <c r="AL7" s="20" t="s">
        <v>7</v>
      </c>
      <c r="AM7" s="20" t="s">
        <v>8</v>
      </c>
      <c r="AN7" s="21" t="s">
        <v>9</v>
      </c>
      <c r="AO7" s="106" t="s">
        <v>21</v>
      </c>
      <c r="AP7" s="107"/>
      <c r="AR7" s="52" t="s">
        <v>6</v>
      </c>
      <c r="AS7" s="52" t="s">
        <v>7</v>
      </c>
      <c r="AT7" s="52" t="s">
        <v>8</v>
      </c>
      <c r="AU7" s="53" t="s">
        <v>9</v>
      </c>
      <c r="AV7" s="98" t="s">
        <v>21</v>
      </c>
      <c r="AW7" s="97"/>
      <c r="AY7" s="42" t="s">
        <v>6</v>
      </c>
      <c r="AZ7" s="42" t="s">
        <v>7</v>
      </c>
      <c r="BA7" s="42" t="s">
        <v>8</v>
      </c>
      <c r="BB7" s="43" t="s">
        <v>9</v>
      </c>
      <c r="BC7" s="147" t="s">
        <v>21</v>
      </c>
      <c r="BD7" s="148"/>
      <c r="BF7" s="52" t="s">
        <v>6</v>
      </c>
      <c r="BG7" s="52" t="s">
        <v>7</v>
      </c>
      <c r="BH7" s="52" t="s">
        <v>8</v>
      </c>
      <c r="BI7" s="53" t="s">
        <v>9</v>
      </c>
      <c r="BJ7" s="98" t="s">
        <v>21</v>
      </c>
      <c r="BK7" s="97"/>
      <c r="BM7" s="20" t="s">
        <v>6</v>
      </c>
      <c r="BN7" s="20" t="s">
        <v>7</v>
      </c>
      <c r="BO7" s="20" t="s">
        <v>8</v>
      </c>
      <c r="BP7" s="21" t="s">
        <v>9</v>
      </c>
      <c r="BQ7" s="106" t="s">
        <v>21</v>
      </c>
      <c r="BR7" s="107"/>
      <c r="BT7" s="20" t="s">
        <v>6</v>
      </c>
      <c r="BU7" s="20" t="s">
        <v>7</v>
      </c>
      <c r="BV7" s="20" t="s">
        <v>8</v>
      </c>
      <c r="BW7" s="21" t="s">
        <v>9</v>
      </c>
      <c r="BX7" s="106" t="s">
        <v>21</v>
      </c>
      <c r="BY7" s="107"/>
      <c r="CA7" s="52" t="s">
        <v>6</v>
      </c>
      <c r="CB7" s="52" t="s">
        <v>7</v>
      </c>
      <c r="CC7" s="52" t="s">
        <v>8</v>
      </c>
      <c r="CD7" s="53" t="s">
        <v>9</v>
      </c>
      <c r="CE7" s="98" t="s">
        <v>21</v>
      </c>
      <c r="CF7" s="97"/>
      <c r="CH7" s="20" t="s">
        <v>6</v>
      </c>
      <c r="CI7" s="20" t="s">
        <v>7</v>
      </c>
      <c r="CJ7" s="20" t="s">
        <v>8</v>
      </c>
      <c r="CK7" s="21" t="s">
        <v>9</v>
      </c>
      <c r="CL7" s="106" t="s">
        <v>21</v>
      </c>
      <c r="CM7" s="107"/>
      <c r="CO7" s="20" t="s">
        <v>6</v>
      </c>
      <c r="CP7" s="20" t="s">
        <v>7</v>
      </c>
      <c r="CQ7" s="20" t="s">
        <v>8</v>
      </c>
      <c r="CR7" s="21" t="s">
        <v>9</v>
      </c>
      <c r="CS7" s="106" t="s">
        <v>21</v>
      </c>
      <c r="CT7" s="107"/>
      <c r="CV7" s="68" t="s">
        <v>6</v>
      </c>
      <c r="CW7" s="68" t="s">
        <v>7</v>
      </c>
      <c r="CX7" s="69" t="s">
        <v>268</v>
      </c>
      <c r="CY7" s="69" t="s">
        <v>269</v>
      </c>
      <c r="CZ7" s="69" t="s">
        <v>270</v>
      </c>
      <c r="DA7" s="69" t="s">
        <v>273</v>
      </c>
      <c r="DB7" s="69" t="s">
        <v>271</v>
      </c>
      <c r="DC7" s="69" t="s">
        <v>272</v>
      </c>
      <c r="DE7" s="92" t="s">
        <v>291</v>
      </c>
      <c r="DF7" s="92" t="s">
        <v>292</v>
      </c>
    </row>
    <row r="8" spans="1:110" ht="19" thickBot="1" x14ac:dyDescent="0.25">
      <c r="A8" s="24" t="s">
        <v>54</v>
      </c>
      <c r="B8" s="9" t="s">
        <v>55</v>
      </c>
      <c r="C8" s="10" t="s">
        <v>56</v>
      </c>
      <c r="D8" s="11">
        <v>3859000</v>
      </c>
      <c r="E8" s="12">
        <f>(D8*19)/100</f>
        <v>733210</v>
      </c>
      <c r="F8" s="99">
        <f>D8+E8</f>
        <v>4592210</v>
      </c>
      <c r="G8" s="100"/>
      <c r="I8" s="9" t="s">
        <v>55</v>
      </c>
      <c r="J8" s="10" t="s">
        <v>56</v>
      </c>
      <c r="K8" s="11">
        <v>2750000</v>
      </c>
      <c r="L8" s="12">
        <v>0</v>
      </c>
      <c r="M8" s="155">
        <f>+K8+L8</f>
        <v>2750000</v>
      </c>
      <c r="N8" s="156"/>
      <c r="P8" s="34" t="s">
        <v>55</v>
      </c>
      <c r="Q8" s="35" t="s">
        <v>56</v>
      </c>
      <c r="R8" s="36">
        <v>1950000</v>
      </c>
      <c r="S8" s="37">
        <v>0</v>
      </c>
      <c r="T8" s="142">
        <f>R8+S8</f>
        <v>1950000</v>
      </c>
      <c r="U8" s="143"/>
      <c r="W8" s="9" t="s">
        <v>55</v>
      </c>
      <c r="X8" s="10" t="s">
        <v>56</v>
      </c>
      <c r="Y8" s="11">
        <v>561500000</v>
      </c>
      <c r="Z8" s="12">
        <v>0</v>
      </c>
      <c r="AA8" s="114">
        <f>+Y8/500</f>
        <v>1123000</v>
      </c>
      <c r="AB8" s="115"/>
      <c r="AD8" s="9" t="s">
        <v>55</v>
      </c>
      <c r="AE8" s="10" t="s">
        <v>56</v>
      </c>
      <c r="AF8" s="11">
        <v>2005114.4187266408</v>
      </c>
      <c r="AG8" s="12">
        <v>0</v>
      </c>
      <c r="AH8" s="114">
        <f>AF8+AG8</f>
        <v>2005114.4187266408</v>
      </c>
      <c r="AI8" s="115"/>
      <c r="AK8" s="9" t="s">
        <v>55</v>
      </c>
      <c r="AL8" s="10" t="s">
        <v>56</v>
      </c>
      <c r="AM8" s="11">
        <v>3483000</v>
      </c>
      <c r="AN8" s="12">
        <v>817000</v>
      </c>
      <c r="AO8" s="114">
        <f>AM8+AN8</f>
        <v>4300000</v>
      </c>
      <c r="AP8" s="115"/>
      <c r="AR8" s="54" t="s">
        <v>55</v>
      </c>
      <c r="AS8" s="55" t="s">
        <v>56</v>
      </c>
      <c r="AT8" s="56">
        <v>3617496</v>
      </c>
      <c r="AU8" s="57">
        <v>0</v>
      </c>
      <c r="AV8" s="93">
        <f t="shared" ref="AV8:AV11" si="0">AT8+AU8</f>
        <v>3617496</v>
      </c>
      <c r="AW8" s="94"/>
      <c r="AY8" s="34" t="s">
        <v>55</v>
      </c>
      <c r="AZ8" s="35" t="s">
        <v>56</v>
      </c>
      <c r="BA8" s="36">
        <v>7350000</v>
      </c>
      <c r="BB8" s="37">
        <v>0</v>
      </c>
      <c r="BC8" s="142">
        <f>BA8+BB8</f>
        <v>7350000</v>
      </c>
      <c r="BD8" s="143"/>
      <c r="BF8" s="54" t="s">
        <v>55</v>
      </c>
      <c r="BG8" s="55" t="s">
        <v>56</v>
      </c>
      <c r="BH8" s="56">
        <v>3748644.8202506658</v>
      </c>
      <c r="BI8" s="57">
        <v>0</v>
      </c>
      <c r="BJ8" s="93">
        <f t="shared" ref="BJ8:BJ11" si="1">BH8+BI8</f>
        <v>3748644.8202506658</v>
      </c>
      <c r="BK8" s="94"/>
      <c r="BM8" s="9" t="s">
        <v>55</v>
      </c>
      <c r="BN8" s="10" t="s">
        <v>56</v>
      </c>
      <c r="BO8" s="11">
        <v>448600</v>
      </c>
      <c r="BP8" s="12">
        <v>0</v>
      </c>
      <c r="BQ8" s="99">
        <f>BO8+BP8</f>
        <v>448600</v>
      </c>
      <c r="BR8" s="100"/>
      <c r="BT8" s="9" t="s">
        <v>55</v>
      </c>
      <c r="BU8" s="10" t="s">
        <v>56</v>
      </c>
      <c r="BV8" s="11">
        <v>2050000</v>
      </c>
      <c r="BW8" s="12">
        <v>0</v>
      </c>
      <c r="BX8" s="99">
        <f>BV8+BW8</f>
        <v>2050000</v>
      </c>
      <c r="BY8" s="100"/>
      <c r="CA8" s="54" t="s">
        <v>55</v>
      </c>
      <c r="CB8" s="55" t="s">
        <v>56</v>
      </c>
      <c r="CC8" s="56">
        <v>3000000</v>
      </c>
      <c r="CD8" s="57">
        <v>0</v>
      </c>
      <c r="CE8" s="93">
        <f t="shared" ref="CE8:CE11" si="2">CC8+CD8</f>
        <v>3000000</v>
      </c>
      <c r="CF8" s="94"/>
      <c r="CH8" s="9" t="s">
        <v>55</v>
      </c>
      <c r="CI8" s="10" t="s">
        <v>56</v>
      </c>
      <c r="CJ8" s="11">
        <v>2500000</v>
      </c>
      <c r="CK8" s="12">
        <v>0</v>
      </c>
      <c r="CL8" s="99">
        <f>CJ8+CK8</f>
        <v>2500000</v>
      </c>
      <c r="CM8" s="100"/>
      <c r="CO8" s="9" t="s">
        <v>55</v>
      </c>
      <c r="CP8" s="10" t="s">
        <v>56</v>
      </c>
      <c r="CQ8" s="11">
        <v>943888.88888888841</v>
      </c>
      <c r="CR8" s="12">
        <f>CQ8*0.19</f>
        <v>179338.88888888879</v>
      </c>
      <c r="CS8" s="99">
        <f>CQ8+CR8</f>
        <v>1123227.7777777773</v>
      </c>
      <c r="CT8" s="100"/>
      <c r="CV8" s="70" t="s">
        <v>55</v>
      </c>
      <c r="CW8" s="71" t="s">
        <v>56</v>
      </c>
      <c r="CX8" s="72">
        <f>+MAX(F8,M8,T8,AA8,AH8,AO8,AV8,BC8,BJ8,BQ8,BX8,CE8,CL8,CS8)</f>
        <v>7350000</v>
      </c>
      <c r="CY8" s="72">
        <f>+MIN(F8,M8,T8,AA8,AH8,AO8,AV8,BC8,BJ8,BQ8,BX8,CE8,CL8,CS8)</f>
        <v>448600</v>
      </c>
      <c r="CZ8" s="72">
        <f>+AVERAGE(F8,M8,T8,AA8,AH8,AO8,AV8,BC8,BJ8,BQ8,BX8,CE8,CL8,CS8)</f>
        <v>2897020.9297682201</v>
      </c>
      <c r="DA8" s="72">
        <f>+TRIMMEAN((F8,M8,T8,AA8,AH8,AO8,AV8,BC8,BJ8,BQ8,BX8,CE8,CL8,CS8),(2/14))</f>
        <v>2729974.4180629235</v>
      </c>
      <c r="DB8" s="72">
        <f>+MEDIAN(F8,M8,T8,AA8,AH8,AO8,AV8,BC8,BJ8,BQ8,BX8,CE8,CL8,CS8)</f>
        <v>2625000</v>
      </c>
      <c r="DC8" s="86" t="str">
        <f>IFERROR(MODE(F8,M8,T8,AA8,AH8,AO8,AV8,BC8,BJ8,BQ8,BX8,CE8,CL8,CS8),"N/A")</f>
        <v>N/A</v>
      </c>
      <c r="DD8" s="88">
        <f>+STDEV(F8,M8,T8,AA8,AH8,AO8,AV8,BC8,BJ8,BQ8,BX8,CE8,CL8,CS8)/CZ8</f>
        <v>0.61153909619056956</v>
      </c>
      <c r="DE8" t="s">
        <v>176</v>
      </c>
      <c r="DF8" t="s">
        <v>192</v>
      </c>
    </row>
    <row r="9" spans="1:110" ht="19" thickBot="1" x14ac:dyDescent="0.25">
      <c r="A9" s="24" t="s">
        <v>57</v>
      </c>
      <c r="B9" s="9" t="s">
        <v>58</v>
      </c>
      <c r="C9" s="13" t="s">
        <v>59</v>
      </c>
      <c r="D9" s="11">
        <v>2664000</v>
      </c>
      <c r="E9" s="12">
        <f t="shared" ref="E9:E11" si="3">(D9*19)/100</f>
        <v>506160</v>
      </c>
      <c r="F9" s="99">
        <f t="shared" ref="F9:F11" si="4">D9+E9</f>
        <v>3170160</v>
      </c>
      <c r="G9" s="100"/>
      <c r="I9" s="9" t="s">
        <v>58</v>
      </c>
      <c r="J9" s="13" t="s">
        <v>59</v>
      </c>
      <c r="K9" s="11">
        <v>2450000</v>
      </c>
      <c r="L9" s="12">
        <v>0</v>
      </c>
      <c r="M9" s="155">
        <f>+K9+L9</f>
        <v>2450000</v>
      </c>
      <c r="N9" s="156"/>
      <c r="P9" s="34" t="s">
        <v>58</v>
      </c>
      <c r="Q9" s="38" t="s">
        <v>59</v>
      </c>
      <c r="R9" s="36">
        <v>1911000</v>
      </c>
      <c r="S9" s="37">
        <v>0</v>
      </c>
      <c r="T9" s="142">
        <f t="shared" ref="T9:T11" si="5">R9+S9</f>
        <v>1911000</v>
      </c>
      <c r="U9" s="143"/>
      <c r="W9" s="9" t="s">
        <v>58</v>
      </c>
      <c r="X9" s="13" t="s">
        <v>59</v>
      </c>
      <c r="Y9" s="11">
        <v>981000000</v>
      </c>
      <c r="Z9" s="12">
        <v>0</v>
      </c>
      <c r="AA9" s="114">
        <f>+Y9/1000</f>
        <v>981000</v>
      </c>
      <c r="AB9" s="115"/>
      <c r="AD9" s="9" t="s">
        <v>58</v>
      </c>
      <c r="AE9" s="13" t="s">
        <v>59</v>
      </c>
      <c r="AF9" s="11">
        <v>1965798.4497320007</v>
      </c>
      <c r="AG9" s="12">
        <v>0</v>
      </c>
      <c r="AH9" s="114">
        <f t="shared" ref="AH9:AH11" si="6">AF9+AG9</f>
        <v>1965798.4497320007</v>
      </c>
      <c r="AI9" s="115"/>
      <c r="AK9" s="9" t="s">
        <v>58</v>
      </c>
      <c r="AL9" s="13" t="s">
        <v>59</v>
      </c>
      <c r="AM9" s="11">
        <v>0</v>
      </c>
      <c r="AN9" s="12">
        <v>0</v>
      </c>
      <c r="AO9" s="151">
        <f t="shared" ref="AO9:AO11" si="7">AM9+AN9</f>
        <v>0</v>
      </c>
      <c r="AP9" s="152"/>
      <c r="AR9" s="54" t="s">
        <v>58</v>
      </c>
      <c r="AS9" s="58" t="s">
        <v>59</v>
      </c>
      <c r="AT9" s="56">
        <v>3571948</v>
      </c>
      <c r="AU9" s="57">
        <v>0</v>
      </c>
      <c r="AV9" s="93">
        <f t="shared" si="0"/>
        <v>3571948</v>
      </c>
      <c r="AW9" s="94"/>
      <c r="AY9" s="34" t="s">
        <v>58</v>
      </c>
      <c r="AZ9" s="38" t="s">
        <v>59</v>
      </c>
      <c r="BA9" s="36">
        <v>5950000</v>
      </c>
      <c r="BB9" s="37">
        <v>0</v>
      </c>
      <c r="BC9" s="142">
        <f t="shared" ref="BC9:BC11" si="8">BA9+BB9</f>
        <v>5950000</v>
      </c>
      <c r="BD9" s="143"/>
      <c r="BF9" s="54" t="s">
        <v>58</v>
      </c>
      <c r="BG9" s="58" t="s">
        <v>59</v>
      </c>
      <c r="BH9" s="56">
        <v>3701409.9367952319</v>
      </c>
      <c r="BI9" s="57">
        <v>0</v>
      </c>
      <c r="BJ9" s="93">
        <f t="shared" si="1"/>
        <v>3701409.9367952319</v>
      </c>
      <c r="BK9" s="94"/>
      <c r="BM9" s="9" t="s">
        <v>58</v>
      </c>
      <c r="BN9" s="13" t="s">
        <v>59</v>
      </c>
      <c r="BO9" s="11">
        <v>425300</v>
      </c>
      <c r="BP9" s="12">
        <v>0</v>
      </c>
      <c r="BQ9" s="99">
        <f t="shared" ref="BQ9:BQ11" si="9">BO9+BP9</f>
        <v>425300</v>
      </c>
      <c r="BR9" s="100"/>
      <c r="BT9" s="9" t="s">
        <v>58</v>
      </c>
      <c r="BU9" s="13" t="s">
        <v>59</v>
      </c>
      <c r="BV9" s="11">
        <v>1560000</v>
      </c>
      <c r="BW9" s="12">
        <v>0</v>
      </c>
      <c r="BX9" s="99">
        <f>BV9+BW9</f>
        <v>1560000</v>
      </c>
      <c r="BY9" s="100"/>
      <c r="CA9" s="54" t="s">
        <v>58</v>
      </c>
      <c r="CB9" s="58" t="s">
        <v>59</v>
      </c>
      <c r="CC9" s="56">
        <v>3000000</v>
      </c>
      <c r="CD9" s="57">
        <v>0</v>
      </c>
      <c r="CE9" s="93">
        <f t="shared" si="2"/>
        <v>3000000</v>
      </c>
      <c r="CF9" s="94"/>
      <c r="CH9" s="9" t="s">
        <v>58</v>
      </c>
      <c r="CI9" s="13" t="s">
        <v>59</v>
      </c>
      <c r="CJ9" s="11">
        <v>2200000</v>
      </c>
      <c r="CK9" s="12">
        <v>0</v>
      </c>
      <c r="CL9" s="99">
        <f t="shared" ref="CL9:CL11" si="10">CJ9+CK9</f>
        <v>2200000</v>
      </c>
      <c r="CM9" s="100"/>
      <c r="CO9" s="9" t="s">
        <v>58</v>
      </c>
      <c r="CP9" s="13" t="s">
        <v>59</v>
      </c>
      <c r="CQ9" s="11">
        <v>943888.88888888841</v>
      </c>
      <c r="CR9" s="12">
        <f>CQ9*0.19</f>
        <v>179338.88888888879</v>
      </c>
      <c r="CS9" s="99">
        <f t="shared" ref="CS9:CS11" si="11">CQ9+CR9</f>
        <v>1123227.7777777773</v>
      </c>
      <c r="CT9" s="100"/>
      <c r="CV9" s="70" t="s">
        <v>58</v>
      </c>
      <c r="CW9" s="71" t="s">
        <v>59</v>
      </c>
      <c r="CX9" s="72">
        <f>+MAX(F9,M9,T9,AA9,AH9,AV9,BC9,BJ9,BQ9,BX9,CE9,CL9,CS9)</f>
        <v>5950000</v>
      </c>
      <c r="CY9" s="72">
        <f>+MIN(F9,M9,T9,AA9,AH9,AV9,BC9,BJ9,BQ9,BX9,CE9,CL9,CS9)</f>
        <v>425300</v>
      </c>
      <c r="CZ9" s="72">
        <f>+AVERAGE(F9,M9,T9,AA9,AH9,AV9,BC9,BJ9,BQ9,BX9,CE9,CL9,CS9)</f>
        <v>2462295.7049465389</v>
      </c>
      <c r="DA9" s="72">
        <f>+TRIMMEAN((F9,M9,T9,AA9,AH9,AV9,BC9,BJ9,BQ9,BX9,CE9,CL9,CS9),(2/13))</f>
        <v>2330413.10584591</v>
      </c>
      <c r="DB9" s="72">
        <f>+MEDIAN(F9,M9,T9,AA9,AH9,AV9,BC9,BJ9,BQ9,BX9,CE9,CL9,CS9)</f>
        <v>2200000</v>
      </c>
      <c r="DC9" s="86" t="str">
        <f>IFERROR(MODE(F9,M9,T9,AA9,AH9,AV9,BC9,BJ9,BQ9,BX9,CE9,CL9,CS9),"N/A")</f>
        <v>N/A</v>
      </c>
      <c r="DD9" s="88">
        <f>+STDEV(F9,M9,T9,AA9,AH9,AV9,BC9,BJ9,BQ9,BX9,CE9,CL9,CS9)/CZ9</f>
        <v>0.58959544365132199</v>
      </c>
      <c r="DE9" t="s">
        <v>176</v>
      </c>
      <c r="DF9" t="s">
        <v>192</v>
      </c>
    </row>
    <row r="10" spans="1:110" ht="19" thickBot="1" x14ac:dyDescent="0.25">
      <c r="A10" s="24" t="s">
        <v>60</v>
      </c>
      <c r="B10" s="9" t="s">
        <v>61</v>
      </c>
      <c r="C10" s="13" t="s">
        <v>62</v>
      </c>
      <c r="D10" s="11">
        <v>2239000</v>
      </c>
      <c r="E10" s="12">
        <f t="shared" si="3"/>
        <v>425410</v>
      </c>
      <c r="F10" s="99">
        <f t="shared" si="4"/>
        <v>2664410</v>
      </c>
      <c r="G10" s="100"/>
      <c r="I10" s="9" t="s">
        <v>61</v>
      </c>
      <c r="J10" s="13" t="s">
        <v>62</v>
      </c>
      <c r="K10" s="11">
        <v>2350000</v>
      </c>
      <c r="L10" s="12">
        <v>0</v>
      </c>
      <c r="M10" s="155">
        <f>+K10+L10</f>
        <v>2350000</v>
      </c>
      <c r="N10" s="156"/>
      <c r="P10" s="34" t="s">
        <v>61</v>
      </c>
      <c r="Q10" s="38" t="s">
        <v>62</v>
      </c>
      <c r="R10" s="36">
        <v>1872780</v>
      </c>
      <c r="S10" s="37">
        <v>0</v>
      </c>
      <c r="T10" s="142">
        <f t="shared" si="5"/>
        <v>1872780</v>
      </c>
      <c r="U10" s="143"/>
      <c r="W10" s="9" t="s">
        <v>61</v>
      </c>
      <c r="X10" s="13" t="s">
        <v>62</v>
      </c>
      <c r="Y10" s="11">
        <v>1018600000</v>
      </c>
      <c r="Z10" s="12">
        <v>0</v>
      </c>
      <c r="AA10" s="114">
        <f>+Y10/1500</f>
        <v>679066.66666666663</v>
      </c>
      <c r="AB10" s="115"/>
      <c r="AD10" s="9" t="s">
        <v>61</v>
      </c>
      <c r="AE10" s="13" t="s">
        <v>62</v>
      </c>
      <c r="AF10" s="11">
        <v>1946713.0278899425</v>
      </c>
      <c r="AG10" s="12">
        <v>0</v>
      </c>
      <c r="AH10" s="114">
        <f t="shared" si="6"/>
        <v>1946713.0278899425</v>
      </c>
      <c r="AI10" s="115"/>
      <c r="AK10" s="9" t="s">
        <v>61</v>
      </c>
      <c r="AL10" s="13" t="s">
        <v>62</v>
      </c>
      <c r="AM10" s="11">
        <v>0</v>
      </c>
      <c r="AN10" s="12">
        <v>0</v>
      </c>
      <c r="AO10" s="151">
        <f t="shared" si="7"/>
        <v>0</v>
      </c>
      <c r="AP10" s="152"/>
      <c r="AR10" s="54" t="s">
        <v>61</v>
      </c>
      <c r="AS10" s="58" t="s">
        <v>62</v>
      </c>
      <c r="AT10" s="56">
        <v>3526207</v>
      </c>
      <c r="AU10" s="57">
        <v>0</v>
      </c>
      <c r="AV10" s="93">
        <f t="shared" si="0"/>
        <v>3526207</v>
      </c>
      <c r="AW10" s="94"/>
      <c r="AY10" s="34" t="s">
        <v>61</v>
      </c>
      <c r="AZ10" s="38" t="s">
        <v>62</v>
      </c>
      <c r="BA10" s="36">
        <v>5760000</v>
      </c>
      <c r="BB10" s="37">
        <v>0</v>
      </c>
      <c r="BC10" s="142">
        <f t="shared" si="8"/>
        <v>5760000</v>
      </c>
      <c r="BD10" s="143"/>
      <c r="BF10" s="54" t="s">
        <v>61</v>
      </c>
      <c r="BG10" s="58" t="s">
        <v>62</v>
      </c>
      <c r="BH10" s="56">
        <v>3654014.7694082414</v>
      </c>
      <c r="BI10" s="57">
        <v>0</v>
      </c>
      <c r="BJ10" s="93">
        <f t="shared" si="1"/>
        <v>3654014.7694082414</v>
      </c>
      <c r="BK10" s="94"/>
      <c r="BM10" s="9" t="s">
        <v>61</v>
      </c>
      <c r="BN10" s="13" t="s">
        <v>62</v>
      </c>
      <c r="BO10" s="11">
        <v>408600</v>
      </c>
      <c r="BP10" s="12">
        <v>0</v>
      </c>
      <c r="BQ10" s="99">
        <f t="shared" si="9"/>
        <v>408600</v>
      </c>
      <c r="BR10" s="100"/>
      <c r="BT10" s="9" t="s">
        <v>61</v>
      </c>
      <c r="BU10" s="13" t="s">
        <v>62</v>
      </c>
      <c r="BV10" s="11">
        <v>1400000</v>
      </c>
      <c r="BW10" s="12">
        <v>0</v>
      </c>
      <c r="BX10" s="99">
        <f>BV10+BW10</f>
        <v>1400000</v>
      </c>
      <c r="BY10" s="100"/>
      <c r="CA10" s="54" t="s">
        <v>61</v>
      </c>
      <c r="CB10" s="58" t="s">
        <v>62</v>
      </c>
      <c r="CC10" s="56">
        <v>3000000</v>
      </c>
      <c r="CD10" s="57">
        <v>0</v>
      </c>
      <c r="CE10" s="93">
        <f t="shared" si="2"/>
        <v>3000000</v>
      </c>
      <c r="CF10" s="94"/>
      <c r="CH10" s="9" t="s">
        <v>61</v>
      </c>
      <c r="CI10" s="13" t="s">
        <v>62</v>
      </c>
      <c r="CJ10" s="11">
        <v>2000000</v>
      </c>
      <c r="CK10" s="12">
        <v>0</v>
      </c>
      <c r="CL10" s="99">
        <f t="shared" si="10"/>
        <v>2000000</v>
      </c>
      <c r="CM10" s="100"/>
      <c r="CO10" s="9" t="s">
        <v>61</v>
      </c>
      <c r="CP10" s="13" t="s">
        <v>62</v>
      </c>
      <c r="CQ10" s="11">
        <v>943888.88888888841</v>
      </c>
      <c r="CR10" s="12">
        <f>CQ10*0.19</f>
        <v>179338.88888888879</v>
      </c>
      <c r="CS10" s="99">
        <f t="shared" si="11"/>
        <v>1123227.7777777773</v>
      </c>
      <c r="CT10" s="100"/>
      <c r="CV10" s="70" t="s">
        <v>61</v>
      </c>
      <c r="CW10" s="71" t="s">
        <v>62</v>
      </c>
      <c r="CX10" s="72">
        <f>+MAX(F10,M10,T10,AA10,AH10,AV10,BC10,BJ10,BQ10,BX10,CE10,CL10,CS10)</f>
        <v>5760000</v>
      </c>
      <c r="CY10" s="72">
        <f>+MIN(F10,M10,T10,AA10,AH10,AV10,BC10,BJ10,BQ10,BX10,CE10,CL10,CS10)</f>
        <v>408600</v>
      </c>
      <c r="CZ10" s="72">
        <f>+AVERAGE(F10,M10,T10,AA10,AH10,AV10,BC10,BJ10,BQ10,BX10,CE10,CL10,CS10)</f>
        <v>2337309.1724417405</v>
      </c>
      <c r="DA10" s="72">
        <f>+TRIMMEAN((F10,M10,T10,AA10,AH10,AV10,BC10,BJ10,BQ10,BX10,CE10,CL10,CS10),(2/13))</f>
        <v>2201492.6583402385</v>
      </c>
      <c r="DB10" s="72">
        <f>+MEDIAN(F10,M10,T10,AA10,AH10,AV10,BC10,BJ10,BQ10,BX10,CE10,CL10,CS10)</f>
        <v>2000000</v>
      </c>
      <c r="DC10" s="86" t="str">
        <f>IFERROR(MODE(F10,M10,T10,AA10,AH10,AV10,BC10,BJ10,BQ10,BX10,CE10,CL10,CS10),"N/A")</f>
        <v>N/A</v>
      </c>
      <c r="DD10" s="88">
        <f>+STDEV(F10,M10,T10,AA10,AH10,AV10,BC10,BJ10,BQ10,BX10,CE10,CL10,CS10)/CZ10</f>
        <v>0.61397844789585965</v>
      </c>
      <c r="DE10" t="s">
        <v>176</v>
      </c>
      <c r="DF10" t="s">
        <v>192</v>
      </c>
    </row>
    <row r="11" spans="1:110" ht="19" thickBot="1" x14ac:dyDescent="0.25">
      <c r="A11" s="24" t="s">
        <v>63</v>
      </c>
      <c r="B11" s="9" t="s">
        <v>64</v>
      </c>
      <c r="C11" s="14" t="s">
        <v>65</v>
      </c>
      <c r="D11" s="11">
        <v>2128000</v>
      </c>
      <c r="E11" s="12">
        <f t="shared" si="3"/>
        <v>404320</v>
      </c>
      <c r="F11" s="99">
        <f t="shared" si="4"/>
        <v>2532320</v>
      </c>
      <c r="G11" s="100"/>
      <c r="I11" s="9" t="s">
        <v>64</v>
      </c>
      <c r="J11" s="14" t="s">
        <v>65</v>
      </c>
      <c r="K11" s="11">
        <v>2320000</v>
      </c>
      <c r="L11" s="12">
        <v>0</v>
      </c>
      <c r="M11" s="155">
        <f>+K11+L11</f>
        <v>2320000</v>
      </c>
      <c r="N11" s="156"/>
      <c r="P11" s="34" t="s">
        <v>64</v>
      </c>
      <c r="Q11" s="39" t="s">
        <v>65</v>
      </c>
      <c r="R11" s="36">
        <v>1835324</v>
      </c>
      <c r="S11" s="37">
        <v>0</v>
      </c>
      <c r="T11" s="142">
        <f t="shared" si="5"/>
        <v>1835324</v>
      </c>
      <c r="U11" s="143"/>
      <c r="W11" s="9" t="s">
        <v>64</v>
      </c>
      <c r="X11" s="14" t="s">
        <v>65</v>
      </c>
      <c r="Y11" s="11">
        <v>1018600000</v>
      </c>
      <c r="Z11" s="12">
        <v>0</v>
      </c>
      <c r="AA11" s="114">
        <f>+Y11/1501</f>
        <v>678614.25716189202</v>
      </c>
      <c r="AB11" s="115"/>
      <c r="AD11" s="9" t="s">
        <v>64</v>
      </c>
      <c r="AE11" s="14" t="s">
        <v>65</v>
      </c>
      <c r="AF11" s="11">
        <v>1927994.6333910006</v>
      </c>
      <c r="AG11" s="12">
        <v>0</v>
      </c>
      <c r="AH11" s="114">
        <f t="shared" si="6"/>
        <v>1927994.6333910006</v>
      </c>
      <c r="AI11" s="115"/>
      <c r="AK11" s="9" t="s">
        <v>64</v>
      </c>
      <c r="AL11" s="14" t="s">
        <v>65</v>
      </c>
      <c r="AM11" s="11">
        <v>0</v>
      </c>
      <c r="AN11" s="12">
        <v>0</v>
      </c>
      <c r="AO11" s="151">
        <f t="shared" si="7"/>
        <v>0</v>
      </c>
      <c r="AP11" s="152"/>
      <c r="AR11" s="54" t="s">
        <v>64</v>
      </c>
      <c r="AS11" s="59" t="s">
        <v>65</v>
      </c>
      <c r="AT11" s="56">
        <v>3470140</v>
      </c>
      <c r="AU11" s="57">
        <v>0</v>
      </c>
      <c r="AV11" s="93">
        <f t="shared" si="0"/>
        <v>3470140</v>
      </c>
      <c r="AW11" s="94"/>
      <c r="AY11" s="34" t="s">
        <v>64</v>
      </c>
      <c r="AZ11" s="39" t="s">
        <v>65</v>
      </c>
      <c r="BA11" s="36">
        <v>5700000</v>
      </c>
      <c r="BB11" s="37">
        <v>0</v>
      </c>
      <c r="BC11" s="142">
        <f t="shared" si="8"/>
        <v>5700000</v>
      </c>
      <c r="BD11" s="143"/>
      <c r="BF11" s="54" t="s">
        <v>64</v>
      </c>
      <c r="BG11" s="59" t="s">
        <v>65</v>
      </c>
      <c r="BH11" s="56">
        <v>3595930.6656335192</v>
      </c>
      <c r="BI11" s="57">
        <v>0</v>
      </c>
      <c r="BJ11" s="93">
        <f t="shared" si="1"/>
        <v>3595930.6656335192</v>
      </c>
      <c r="BK11" s="94"/>
      <c r="BM11" s="9" t="s">
        <v>64</v>
      </c>
      <c r="BN11" s="14" t="s">
        <v>65</v>
      </c>
      <c r="BO11" s="11">
        <v>0</v>
      </c>
      <c r="BP11" s="12">
        <v>0</v>
      </c>
      <c r="BQ11" s="135">
        <f t="shared" si="9"/>
        <v>0</v>
      </c>
      <c r="BR11" s="136"/>
      <c r="BT11" s="9" t="s">
        <v>64</v>
      </c>
      <c r="BU11" s="14" t="s">
        <v>65</v>
      </c>
      <c r="BV11" s="11">
        <v>1330000</v>
      </c>
      <c r="BW11" s="12">
        <v>0</v>
      </c>
      <c r="BX11" s="99">
        <f>BV11+BW11</f>
        <v>1330000</v>
      </c>
      <c r="BY11" s="100"/>
      <c r="CA11" s="54" t="s">
        <v>64</v>
      </c>
      <c r="CB11" s="59" t="s">
        <v>65</v>
      </c>
      <c r="CC11" s="56">
        <v>3000000</v>
      </c>
      <c r="CD11" s="57">
        <v>0</v>
      </c>
      <c r="CE11" s="93">
        <f t="shared" si="2"/>
        <v>3000000</v>
      </c>
      <c r="CF11" s="94"/>
      <c r="CH11" s="9" t="s">
        <v>64</v>
      </c>
      <c r="CI11" s="14" t="s">
        <v>65</v>
      </c>
      <c r="CJ11" s="11">
        <v>2000000</v>
      </c>
      <c r="CK11" s="12">
        <v>0</v>
      </c>
      <c r="CL11" s="99">
        <f t="shared" si="10"/>
        <v>2000000</v>
      </c>
      <c r="CM11" s="100"/>
      <c r="CO11" s="9" t="s">
        <v>64</v>
      </c>
      <c r="CP11" s="14" t="s">
        <v>65</v>
      </c>
      <c r="CQ11" s="11">
        <v>913888.88888888841</v>
      </c>
      <c r="CR11" s="12">
        <f>CQ11*0.19</f>
        <v>173638.88888888879</v>
      </c>
      <c r="CS11" s="99">
        <f t="shared" si="11"/>
        <v>1087527.7777777773</v>
      </c>
      <c r="CT11" s="100"/>
      <c r="CV11" s="70" t="s">
        <v>64</v>
      </c>
      <c r="CW11" s="71" t="s">
        <v>65</v>
      </c>
      <c r="CX11" s="72">
        <f>+MAX(F11,M11,T11,AA11,AH11,AV11,BC11,BJ11,BX11,CE11,CL11,CS11)</f>
        <v>5700000</v>
      </c>
      <c r="CY11" s="72">
        <f>+MIN(F11,M11,T11,AA11,AH11,AV11,BC11,BJ11,BX11,CE11,CL11,CS11)</f>
        <v>678614.25716189202</v>
      </c>
      <c r="CZ11" s="72">
        <f>+AVERAGE(F11,M11,T11,AA11,AH11,AV11,BC11,BJ11,BX11,CE11,CL11,CS11)</f>
        <v>2456487.6111636823</v>
      </c>
      <c r="DA11" s="72">
        <f>+TRIMMEAN((F11,M11,T11,AA11,AH11,AV11,BC11,BJ11,BX11,CE11,CL11,CS11),(2/12))</f>
        <v>2309923.7076802296</v>
      </c>
      <c r="DB11" s="72">
        <f>+MEDIAN(F11,M11,T11,AA11,AH11,AV11,BC11,BJ11,BX11,CE11,CL11,CS11)</f>
        <v>2160000</v>
      </c>
      <c r="DC11" s="86" t="str">
        <f>IFERROR(MODE(F11,M11,T11,AA11,AH11,AV11,BC11,BJ11,BX11,CE11,CL11,CS11),"N/A")</f>
        <v>N/A</v>
      </c>
      <c r="DD11" s="88">
        <f>+STDEV(F11,M11,T11,AA11,AH11,AV11,BC11,BJ11,BX11,CE11,CL11,CS11)/CZ11</f>
        <v>0.55360564685517655</v>
      </c>
      <c r="DE11" t="s">
        <v>176</v>
      </c>
      <c r="DF11" t="s">
        <v>192</v>
      </c>
    </row>
    <row r="12" spans="1:110" ht="61" thickBot="1" x14ac:dyDescent="0.25">
      <c r="A12" s="1" t="s">
        <v>52</v>
      </c>
      <c r="B12" s="103" t="s">
        <v>53</v>
      </c>
      <c r="C12" s="104"/>
      <c r="D12" s="104"/>
      <c r="E12" s="105"/>
      <c r="F12" s="18" t="s">
        <v>3</v>
      </c>
      <c r="G12" s="19" t="s">
        <v>20</v>
      </c>
      <c r="I12" s="15" t="s">
        <v>53</v>
      </c>
      <c r="J12" s="16"/>
      <c r="K12" s="16"/>
      <c r="L12" s="17"/>
      <c r="M12" s="18" t="s">
        <v>3</v>
      </c>
      <c r="N12" s="19" t="s">
        <v>20</v>
      </c>
      <c r="P12" s="144" t="s">
        <v>53</v>
      </c>
      <c r="Q12" s="145"/>
      <c r="R12" s="145"/>
      <c r="S12" s="146"/>
      <c r="T12" s="40" t="s">
        <v>3</v>
      </c>
      <c r="U12" s="41" t="s">
        <v>20</v>
      </c>
      <c r="W12" s="103" t="s">
        <v>53</v>
      </c>
      <c r="X12" s="104"/>
      <c r="Y12" s="104"/>
      <c r="Z12" s="105"/>
      <c r="AA12" s="18" t="s">
        <v>3</v>
      </c>
      <c r="AB12" s="19" t="s">
        <v>20</v>
      </c>
      <c r="AD12" s="103" t="s">
        <v>53</v>
      </c>
      <c r="AE12" s="104"/>
      <c r="AF12" s="104"/>
      <c r="AG12" s="105"/>
      <c r="AH12" s="18" t="s">
        <v>3</v>
      </c>
      <c r="AI12" s="19" t="s">
        <v>20</v>
      </c>
      <c r="AK12" s="103" t="s">
        <v>53</v>
      </c>
      <c r="AL12" s="104"/>
      <c r="AM12" s="104"/>
      <c r="AN12" s="105"/>
      <c r="AO12" s="18" t="s">
        <v>3</v>
      </c>
      <c r="AP12" s="19" t="s">
        <v>20</v>
      </c>
      <c r="AR12" s="95" t="s">
        <v>53</v>
      </c>
      <c r="AS12" s="96"/>
      <c r="AT12" s="96"/>
      <c r="AU12" s="97"/>
      <c r="AV12" s="60" t="s">
        <v>3</v>
      </c>
      <c r="AW12" s="61" t="s">
        <v>20</v>
      </c>
      <c r="AY12" s="144" t="s">
        <v>53</v>
      </c>
      <c r="AZ12" s="145"/>
      <c r="BA12" s="145"/>
      <c r="BB12" s="146"/>
      <c r="BC12" s="40" t="s">
        <v>3</v>
      </c>
      <c r="BD12" s="41" t="s">
        <v>20</v>
      </c>
      <c r="BF12" s="95" t="s">
        <v>53</v>
      </c>
      <c r="BG12" s="96"/>
      <c r="BH12" s="96"/>
      <c r="BI12" s="97"/>
      <c r="BJ12" s="60" t="s">
        <v>3</v>
      </c>
      <c r="BK12" s="61" t="s">
        <v>20</v>
      </c>
      <c r="BM12" s="103" t="s">
        <v>53</v>
      </c>
      <c r="BN12" s="104"/>
      <c r="BO12" s="104"/>
      <c r="BP12" s="105"/>
      <c r="BQ12" s="18" t="s">
        <v>3</v>
      </c>
      <c r="BR12" s="19" t="s">
        <v>20</v>
      </c>
      <c r="BT12" s="103" t="s">
        <v>53</v>
      </c>
      <c r="BU12" s="104"/>
      <c r="BV12" s="104"/>
      <c r="BW12" s="105"/>
      <c r="BX12" s="18" t="s">
        <v>3</v>
      </c>
      <c r="BY12" s="19" t="s">
        <v>20</v>
      </c>
      <c r="CA12" s="95" t="s">
        <v>53</v>
      </c>
      <c r="CB12" s="96"/>
      <c r="CC12" s="96"/>
      <c r="CD12" s="97"/>
      <c r="CE12" s="60" t="s">
        <v>3</v>
      </c>
      <c r="CF12" s="61" t="s">
        <v>20</v>
      </c>
      <c r="CH12" s="103" t="s">
        <v>53</v>
      </c>
      <c r="CI12" s="104"/>
      <c r="CJ12" s="104"/>
      <c r="CK12" s="105"/>
      <c r="CL12" s="18" t="s">
        <v>3</v>
      </c>
      <c r="CM12" s="19" t="s">
        <v>20</v>
      </c>
      <c r="CO12" s="103" t="s">
        <v>53</v>
      </c>
      <c r="CP12" s="104"/>
      <c r="CQ12" s="104"/>
      <c r="CR12" s="105"/>
      <c r="CS12" s="18" t="s">
        <v>3</v>
      </c>
      <c r="CT12" s="19" t="s">
        <v>20</v>
      </c>
    </row>
    <row r="13" spans="1:110" ht="46" customHeight="1" thickBot="1" x14ac:dyDescent="0.25">
      <c r="A13" s="3" t="s">
        <v>5</v>
      </c>
      <c r="B13" s="20" t="s">
        <v>6</v>
      </c>
      <c r="C13" s="20" t="s">
        <v>7</v>
      </c>
      <c r="D13" s="20" t="s">
        <v>8</v>
      </c>
      <c r="E13" s="21" t="s">
        <v>9</v>
      </c>
      <c r="F13" s="106" t="s">
        <v>21</v>
      </c>
      <c r="G13" s="107"/>
      <c r="I13" s="20" t="s">
        <v>6</v>
      </c>
      <c r="J13" s="20" t="s">
        <v>7</v>
      </c>
      <c r="K13" s="20" t="s">
        <v>8</v>
      </c>
      <c r="L13" s="21" t="s">
        <v>9</v>
      </c>
      <c r="M13" s="22" t="s">
        <v>21</v>
      </c>
      <c r="N13" s="23"/>
      <c r="P13" s="42" t="s">
        <v>6</v>
      </c>
      <c r="Q13" s="42" t="s">
        <v>7</v>
      </c>
      <c r="R13" s="42" t="s">
        <v>8</v>
      </c>
      <c r="S13" s="43" t="s">
        <v>9</v>
      </c>
      <c r="T13" s="147" t="s">
        <v>21</v>
      </c>
      <c r="U13" s="148"/>
      <c r="W13" s="20" t="s">
        <v>6</v>
      </c>
      <c r="X13" s="20" t="s">
        <v>7</v>
      </c>
      <c r="Y13" s="20" t="s">
        <v>8</v>
      </c>
      <c r="Z13" s="21" t="s">
        <v>9</v>
      </c>
      <c r="AA13" s="106" t="s">
        <v>21</v>
      </c>
      <c r="AB13" s="107"/>
      <c r="AD13" s="20" t="s">
        <v>6</v>
      </c>
      <c r="AE13" s="20" t="s">
        <v>7</v>
      </c>
      <c r="AF13" s="20" t="s">
        <v>8</v>
      </c>
      <c r="AG13" s="21" t="s">
        <v>9</v>
      </c>
      <c r="AH13" s="106" t="s">
        <v>21</v>
      </c>
      <c r="AI13" s="107"/>
      <c r="AK13" s="20" t="s">
        <v>6</v>
      </c>
      <c r="AL13" s="20" t="s">
        <v>7</v>
      </c>
      <c r="AM13" s="20" t="s">
        <v>8</v>
      </c>
      <c r="AN13" s="21" t="s">
        <v>9</v>
      </c>
      <c r="AO13" s="106" t="s">
        <v>21</v>
      </c>
      <c r="AP13" s="107"/>
      <c r="AR13" s="52" t="s">
        <v>6</v>
      </c>
      <c r="AS13" s="52" t="s">
        <v>7</v>
      </c>
      <c r="AT13" s="52" t="s">
        <v>8</v>
      </c>
      <c r="AU13" s="53" t="s">
        <v>9</v>
      </c>
      <c r="AV13" s="98" t="s">
        <v>21</v>
      </c>
      <c r="AW13" s="97"/>
      <c r="AY13" s="42" t="s">
        <v>6</v>
      </c>
      <c r="AZ13" s="42" t="s">
        <v>7</v>
      </c>
      <c r="BA13" s="42" t="s">
        <v>8</v>
      </c>
      <c r="BB13" s="43" t="s">
        <v>9</v>
      </c>
      <c r="BC13" s="147" t="s">
        <v>21</v>
      </c>
      <c r="BD13" s="148"/>
      <c r="BF13" s="52" t="s">
        <v>6</v>
      </c>
      <c r="BG13" s="52" t="s">
        <v>7</v>
      </c>
      <c r="BH13" s="52" t="s">
        <v>8</v>
      </c>
      <c r="BI13" s="53" t="s">
        <v>9</v>
      </c>
      <c r="BJ13" s="98" t="s">
        <v>21</v>
      </c>
      <c r="BK13" s="97"/>
      <c r="BM13" s="20" t="s">
        <v>6</v>
      </c>
      <c r="BN13" s="20" t="s">
        <v>7</v>
      </c>
      <c r="BO13" s="20" t="s">
        <v>8</v>
      </c>
      <c r="BP13" s="21" t="s">
        <v>9</v>
      </c>
      <c r="BQ13" s="106" t="s">
        <v>21</v>
      </c>
      <c r="BR13" s="107"/>
      <c r="BT13" s="20" t="s">
        <v>6</v>
      </c>
      <c r="BU13" s="20" t="s">
        <v>7</v>
      </c>
      <c r="BV13" s="20" t="s">
        <v>8</v>
      </c>
      <c r="BW13" s="21" t="s">
        <v>9</v>
      </c>
      <c r="BX13" s="106" t="s">
        <v>21</v>
      </c>
      <c r="BY13" s="107"/>
      <c r="CA13" s="52" t="s">
        <v>6</v>
      </c>
      <c r="CB13" s="52" t="s">
        <v>7</v>
      </c>
      <c r="CC13" s="52" t="s">
        <v>8</v>
      </c>
      <c r="CD13" s="53" t="s">
        <v>9</v>
      </c>
      <c r="CE13" s="98" t="s">
        <v>21</v>
      </c>
      <c r="CF13" s="97"/>
      <c r="CH13" s="20" t="s">
        <v>6</v>
      </c>
      <c r="CI13" s="20" t="s">
        <v>7</v>
      </c>
      <c r="CJ13" s="20" t="s">
        <v>8</v>
      </c>
      <c r="CK13" s="21" t="s">
        <v>9</v>
      </c>
      <c r="CL13" s="106" t="s">
        <v>21</v>
      </c>
      <c r="CM13" s="107"/>
      <c r="CO13" s="20" t="s">
        <v>6</v>
      </c>
      <c r="CP13" s="20" t="s">
        <v>7</v>
      </c>
      <c r="CQ13" s="20" t="s">
        <v>8</v>
      </c>
      <c r="CR13" s="21" t="s">
        <v>9</v>
      </c>
      <c r="CS13" s="106" t="s">
        <v>21</v>
      </c>
      <c r="CT13" s="107"/>
      <c r="CV13" s="68" t="s">
        <v>6</v>
      </c>
      <c r="CW13" s="68" t="s">
        <v>7</v>
      </c>
      <c r="CX13" s="69" t="s">
        <v>268</v>
      </c>
      <c r="CY13" s="69" t="s">
        <v>269</v>
      </c>
      <c r="CZ13" s="69" t="s">
        <v>270</v>
      </c>
      <c r="DA13" s="69" t="s">
        <v>273</v>
      </c>
      <c r="DB13" s="69" t="s">
        <v>271</v>
      </c>
      <c r="DC13" s="69" t="s">
        <v>272</v>
      </c>
      <c r="DE13" s="92" t="s">
        <v>291</v>
      </c>
      <c r="DF13" s="92" t="s">
        <v>292</v>
      </c>
    </row>
    <row r="14" spans="1:110" ht="19" thickBot="1" x14ac:dyDescent="0.25">
      <c r="A14" s="24" t="s">
        <v>54</v>
      </c>
      <c r="B14" s="9" t="s">
        <v>66</v>
      </c>
      <c r="C14" s="10" t="s">
        <v>56</v>
      </c>
      <c r="D14" s="11">
        <v>3859000</v>
      </c>
      <c r="E14" s="12">
        <f>(D14*19)/100</f>
        <v>733210</v>
      </c>
      <c r="F14" s="99">
        <f t="shared" ref="F14:F17" si="12">D14+E14</f>
        <v>4592210</v>
      </c>
      <c r="G14" s="100"/>
      <c r="I14" s="9" t="s">
        <v>66</v>
      </c>
      <c r="J14" s="10" t="s">
        <v>56</v>
      </c>
      <c r="K14" s="11">
        <v>2750000</v>
      </c>
      <c r="L14" s="12">
        <v>0</v>
      </c>
      <c r="M14" s="155">
        <f>+K14+L14</f>
        <v>2750000</v>
      </c>
      <c r="N14" s="156"/>
      <c r="P14" s="34" t="s">
        <v>66</v>
      </c>
      <c r="Q14" s="35" t="s">
        <v>56</v>
      </c>
      <c r="R14" s="36">
        <v>1950000</v>
      </c>
      <c r="S14" s="37">
        <v>0</v>
      </c>
      <c r="T14" s="142">
        <f t="shared" ref="T14:T17" si="13">R14+S14</f>
        <v>1950000</v>
      </c>
      <c r="U14" s="143"/>
      <c r="W14" s="9" t="s">
        <v>66</v>
      </c>
      <c r="X14" s="10" t="s">
        <v>56</v>
      </c>
      <c r="Y14" s="11">
        <v>561500000</v>
      </c>
      <c r="Z14" s="12">
        <v>0</v>
      </c>
      <c r="AA14" s="114">
        <f>+Y14/500</f>
        <v>1123000</v>
      </c>
      <c r="AB14" s="115"/>
      <c r="AD14" s="9" t="s">
        <v>66</v>
      </c>
      <c r="AE14" s="10" t="s">
        <v>56</v>
      </c>
      <c r="AF14" s="11">
        <v>2025165.5629139072</v>
      </c>
      <c r="AG14" s="12">
        <v>0</v>
      </c>
      <c r="AH14" s="114">
        <f t="shared" ref="AH14:AH17" si="14">AF14+AG14</f>
        <v>2025165.5629139072</v>
      </c>
      <c r="AI14" s="115"/>
      <c r="AK14" s="9" t="s">
        <v>66</v>
      </c>
      <c r="AL14" s="10" t="s">
        <v>56</v>
      </c>
      <c r="AM14" s="11">
        <v>3483000</v>
      </c>
      <c r="AN14" s="12">
        <v>817000</v>
      </c>
      <c r="AO14" s="114">
        <f t="shared" ref="AO14:AO17" si="15">AM14+AN14</f>
        <v>4300000</v>
      </c>
      <c r="AP14" s="115"/>
      <c r="AR14" s="54" t="s">
        <v>66</v>
      </c>
      <c r="AS14" s="55" t="s">
        <v>56</v>
      </c>
      <c r="AT14" s="56">
        <v>3641138</v>
      </c>
      <c r="AU14" s="57">
        <v>0</v>
      </c>
      <c r="AV14" s="93">
        <f t="shared" ref="AV14:AV17" si="16">AT14+AU14</f>
        <v>3641138</v>
      </c>
      <c r="AW14" s="94"/>
      <c r="AY14" s="34" t="s">
        <v>66</v>
      </c>
      <c r="AZ14" s="35" t="s">
        <v>56</v>
      </c>
      <c r="BA14" s="36">
        <v>7350000</v>
      </c>
      <c r="BB14" s="37">
        <v>0</v>
      </c>
      <c r="BC14" s="142">
        <f t="shared" ref="BC14:BC17" si="17">BA14+BB14</f>
        <v>7350000</v>
      </c>
      <c r="BD14" s="143"/>
      <c r="BF14" s="54" t="s">
        <v>66</v>
      </c>
      <c r="BG14" s="55" t="s">
        <v>56</v>
      </c>
      <c r="BH14" s="56">
        <v>3773169.4885502663</v>
      </c>
      <c r="BI14" s="57">
        <v>0</v>
      </c>
      <c r="BJ14" s="93">
        <f t="shared" ref="BJ14:BJ17" si="18">BH14+BI14</f>
        <v>3773169.4885502663</v>
      </c>
      <c r="BK14" s="94"/>
      <c r="BM14" s="9" t="s">
        <v>66</v>
      </c>
      <c r="BN14" s="10" t="s">
        <v>56</v>
      </c>
      <c r="BO14" s="11">
        <v>448600</v>
      </c>
      <c r="BP14" s="12">
        <v>0</v>
      </c>
      <c r="BQ14" s="99">
        <f t="shared" ref="BQ14:BQ17" si="19">BO14+BP14</f>
        <v>448600</v>
      </c>
      <c r="BR14" s="100"/>
      <c r="BT14" s="9" t="s">
        <v>66</v>
      </c>
      <c r="BU14" s="10" t="s">
        <v>56</v>
      </c>
      <c r="BV14" s="11">
        <v>2050000</v>
      </c>
      <c r="BW14" s="12">
        <v>0</v>
      </c>
      <c r="BX14" s="99">
        <f>BV14+BW14</f>
        <v>2050000</v>
      </c>
      <c r="BY14" s="100"/>
      <c r="CA14" s="54" t="s">
        <v>66</v>
      </c>
      <c r="CB14" s="55" t="s">
        <v>56</v>
      </c>
      <c r="CC14" s="56">
        <v>3000000</v>
      </c>
      <c r="CD14" s="57">
        <v>0</v>
      </c>
      <c r="CE14" s="93">
        <f t="shared" ref="CE14:CE17" si="20">CC14+CD14</f>
        <v>3000000</v>
      </c>
      <c r="CF14" s="94"/>
      <c r="CH14" s="9" t="s">
        <v>66</v>
      </c>
      <c r="CI14" s="10" t="s">
        <v>56</v>
      </c>
      <c r="CJ14" s="11">
        <v>2500000</v>
      </c>
      <c r="CK14" s="12">
        <v>0</v>
      </c>
      <c r="CL14" s="99">
        <f t="shared" ref="CL14:CL17" si="21">CJ14+CK14</f>
        <v>2500000</v>
      </c>
      <c r="CM14" s="100"/>
      <c r="CO14" s="9" t="s">
        <v>66</v>
      </c>
      <c r="CP14" s="10" t="s">
        <v>56</v>
      </c>
      <c r="CQ14" s="11">
        <v>943888.88888888841</v>
      </c>
      <c r="CR14" s="12">
        <f>CQ14*0.19</f>
        <v>179338.88888888879</v>
      </c>
      <c r="CS14" s="99">
        <f t="shared" ref="CS14:CS17" si="22">CQ14+CR14</f>
        <v>1123227.7777777773</v>
      </c>
      <c r="CT14" s="100"/>
      <c r="CV14" s="9" t="s">
        <v>66</v>
      </c>
      <c r="CW14" s="10" t="s">
        <v>56</v>
      </c>
      <c r="CX14" s="72">
        <f>+MAX(F14,M14,T14,AA14,AH14,AO14,AV14,BC14,BJ14,BQ14,BX14,CE14,CL14,CS14)</f>
        <v>7350000</v>
      </c>
      <c r="CY14" s="72">
        <f>+MIN(F14,M14,T14,AA14,AH14,AO14,AV14,BC14,BJ14,BQ14,BX14,CE14,CL14,CS14)</f>
        <v>448600</v>
      </c>
      <c r="CZ14" s="72">
        <f>+AVERAGE(F14,M14,T14,AA14,AH14,AO14,AV14,BC14,BJ14,BQ14,BX14,CE14,CL14,CS14)</f>
        <v>2901893.6306601395</v>
      </c>
      <c r="DA14" s="72">
        <f>+TRIMMEAN((F14,M14,T14,AA14,AH14,AO14,AV14,BC14,BJ14,BQ14,BX14,CE14,CL14,CS14),(2/14))</f>
        <v>2735659.2357701627</v>
      </c>
      <c r="DB14" s="72">
        <f>+MEDIAN(F14,M14,T14,AA14,AH14,AO14,AV14,BC14,BJ14,BQ14,BX14,CE14,CL14,CS14)</f>
        <v>2625000</v>
      </c>
      <c r="DC14" s="86" t="str">
        <f>IFERROR(MODE(F14,M14,T14,AA14,AH14,AO14,AV14,BC14,BJ14,BQ14,BX14,CE14,CL14,CS14),"N/A")</f>
        <v>N/A</v>
      </c>
      <c r="DD14" s="88">
        <f>+STDEV(F14,M14,T14,AA14,AH14,AO14,AV14,BC14,BJ14,BQ14,BX14,CE14,CL14,CS14)/CZ14</f>
        <v>0.6108211353571511</v>
      </c>
      <c r="DE14" t="s">
        <v>176</v>
      </c>
      <c r="DF14" t="s">
        <v>192</v>
      </c>
    </row>
    <row r="15" spans="1:110" ht="19" thickBot="1" x14ac:dyDescent="0.25">
      <c r="A15" s="24" t="s">
        <v>57</v>
      </c>
      <c r="B15" s="9" t="s">
        <v>67</v>
      </c>
      <c r="C15" s="13" t="s">
        <v>59</v>
      </c>
      <c r="D15" s="11">
        <v>2664000</v>
      </c>
      <c r="E15" s="12">
        <f t="shared" ref="E15:E17" si="23">(D15*19)/100</f>
        <v>506160</v>
      </c>
      <c r="F15" s="99">
        <f t="shared" si="12"/>
        <v>3170160</v>
      </c>
      <c r="G15" s="100"/>
      <c r="I15" s="9" t="s">
        <v>67</v>
      </c>
      <c r="J15" s="13" t="s">
        <v>59</v>
      </c>
      <c r="K15" s="11">
        <v>2450000</v>
      </c>
      <c r="L15" s="12">
        <v>0</v>
      </c>
      <c r="M15" s="155">
        <f>+K15+L15</f>
        <v>2450000</v>
      </c>
      <c r="N15" s="156"/>
      <c r="P15" s="34" t="s">
        <v>67</v>
      </c>
      <c r="Q15" s="38" t="s">
        <v>59</v>
      </c>
      <c r="R15" s="36">
        <v>1911000</v>
      </c>
      <c r="S15" s="37">
        <v>0</v>
      </c>
      <c r="T15" s="142">
        <f t="shared" si="13"/>
        <v>1911000</v>
      </c>
      <c r="U15" s="143"/>
      <c r="W15" s="9" t="s">
        <v>67</v>
      </c>
      <c r="X15" s="13" t="s">
        <v>59</v>
      </c>
      <c r="Y15" s="11">
        <v>981000000</v>
      </c>
      <c r="Z15" s="12">
        <v>0</v>
      </c>
      <c r="AA15" s="114">
        <f>+Y15/1000</f>
        <v>981000</v>
      </c>
      <c r="AB15" s="115"/>
      <c r="AD15" s="9" t="s">
        <v>67</v>
      </c>
      <c r="AE15" s="13" t="s">
        <v>59</v>
      </c>
      <c r="AF15" s="11">
        <v>2005114.4187266408</v>
      </c>
      <c r="AG15" s="12">
        <v>0</v>
      </c>
      <c r="AH15" s="114">
        <f t="shared" si="14"/>
        <v>2005114.4187266408</v>
      </c>
      <c r="AI15" s="115"/>
      <c r="AK15" s="9" t="s">
        <v>67</v>
      </c>
      <c r="AL15" s="13" t="s">
        <v>59</v>
      </c>
      <c r="AM15" s="11">
        <v>0</v>
      </c>
      <c r="AN15" s="12">
        <v>0</v>
      </c>
      <c r="AO15" s="151">
        <f t="shared" si="15"/>
        <v>0</v>
      </c>
      <c r="AP15" s="152"/>
      <c r="AR15" s="54" t="s">
        <v>67</v>
      </c>
      <c r="AS15" s="58" t="s">
        <v>59</v>
      </c>
      <c r="AT15" s="56">
        <v>3595590</v>
      </c>
      <c r="AU15" s="57">
        <v>0</v>
      </c>
      <c r="AV15" s="93">
        <f t="shared" si="16"/>
        <v>3595590</v>
      </c>
      <c r="AW15" s="94"/>
      <c r="AY15" s="34" t="s">
        <v>67</v>
      </c>
      <c r="AZ15" s="38" t="s">
        <v>59</v>
      </c>
      <c r="BA15" s="36">
        <v>5950000</v>
      </c>
      <c r="BB15" s="37">
        <v>0</v>
      </c>
      <c r="BC15" s="142">
        <f t="shared" si="17"/>
        <v>5950000</v>
      </c>
      <c r="BD15" s="143"/>
      <c r="BF15" s="54" t="s">
        <v>67</v>
      </c>
      <c r="BG15" s="58" t="s">
        <v>59</v>
      </c>
      <c r="BH15" s="56">
        <v>3725935.1055460377</v>
      </c>
      <c r="BI15" s="57">
        <v>0</v>
      </c>
      <c r="BJ15" s="93">
        <f t="shared" si="18"/>
        <v>3725935.1055460377</v>
      </c>
      <c r="BK15" s="94"/>
      <c r="BM15" s="9" t="s">
        <v>67</v>
      </c>
      <c r="BN15" s="13" t="s">
        <v>59</v>
      </c>
      <c r="BO15" s="11">
        <v>425300</v>
      </c>
      <c r="BP15" s="12">
        <v>0</v>
      </c>
      <c r="BQ15" s="99">
        <f t="shared" si="19"/>
        <v>425300</v>
      </c>
      <c r="BR15" s="100"/>
      <c r="BT15" s="9" t="s">
        <v>67</v>
      </c>
      <c r="BU15" s="13" t="s">
        <v>59</v>
      </c>
      <c r="BV15" s="11">
        <v>1560000</v>
      </c>
      <c r="BW15" s="12">
        <v>0</v>
      </c>
      <c r="BX15" s="99">
        <f>BV15+BW15</f>
        <v>1560000</v>
      </c>
      <c r="BY15" s="100"/>
      <c r="CA15" s="54" t="s">
        <v>67</v>
      </c>
      <c r="CB15" s="58" t="s">
        <v>59</v>
      </c>
      <c r="CC15" s="56">
        <v>3000000</v>
      </c>
      <c r="CD15" s="57">
        <v>0</v>
      </c>
      <c r="CE15" s="93">
        <f t="shared" si="20"/>
        <v>3000000</v>
      </c>
      <c r="CF15" s="94"/>
      <c r="CH15" s="9" t="s">
        <v>67</v>
      </c>
      <c r="CI15" s="13" t="s">
        <v>59</v>
      </c>
      <c r="CJ15" s="11">
        <v>2200000</v>
      </c>
      <c r="CK15" s="12">
        <v>0</v>
      </c>
      <c r="CL15" s="99">
        <f t="shared" si="21"/>
        <v>2200000</v>
      </c>
      <c r="CM15" s="100"/>
      <c r="CO15" s="9" t="s">
        <v>67</v>
      </c>
      <c r="CP15" s="13" t="s">
        <v>59</v>
      </c>
      <c r="CQ15" s="11">
        <v>943888.88888888841</v>
      </c>
      <c r="CR15" s="12">
        <f>CQ15*0.19</f>
        <v>179338.88888888879</v>
      </c>
      <c r="CS15" s="99">
        <f t="shared" si="22"/>
        <v>1123227.7777777773</v>
      </c>
      <c r="CT15" s="100"/>
      <c r="CV15" s="9" t="s">
        <v>67</v>
      </c>
      <c r="CW15" s="13" t="s">
        <v>59</v>
      </c>
      <c r="CX15" s="72">
        <f>+MAX(F15,M15,T15,AA15,AH15,AV15,BC15,BJ15,BQ15,BX15,CE15,CL15,CS15)</f>
        <v>5950000</v>
      </c>
      <c r="CY15" s="72">
        <f>+MIN(F15,M15,T15,AA15,AH15,AV15,BC15,BJ15,BQ15,BX15,CE15,CL15,CS15)</f>
        <v>425300</v>
      </c>
      <c r="CZ15" s="72">
        <f>+AVERAGE(F15,M15,T15,AA15,AH15,AV15,BC15,BJ15,BQ15,BX15,CE15,CL15,CS15)</f>
        <v>2469025.1770808045</v>
      </c>
      <c r="DA15" s="72">
        <f>+TRIMMEAN((F15,M15,T15,AA15,AH15,AV15,BC15,BJ15,BQ15,BX15,CE15,CL15,CS15),(2/13))</f>
        <v>2338366.1183682233</v>
      </c>
      <c r="DB15" s="72">
        <f>+MEDIAN(F15,M15,T15,AA15,AH15,AV15,BC15,BJ15,BQ15,BX15,CE15,CL15,CS15)</f>
        <v>2200000</v>
      </c>
      <c r="DC15" s="86" t="str">
        <f>IFERROR(MODE(F15,M15,T15,AA15,AH15,AV15,BC15,BJ15,BQ15,BX15,CE15,CL15,CS15),"N/A")</f>
        <v>N/A</v>
      </c>
      <c r="DD15" s="88">
        <f>+STDEV(F15,M15,T15,AA15,AH15,AV15,BC15,BJ15,BQ15,BX15,CE15,CL15,CS15)/CZ15</f>
        <v>0.58887502387214641</v>
      </c>
      <c r="DE15" t="s">
        <v>176</v>
      </c>
      <c r="DF15" t="s">
        <v>192</v>
      </c>
    </row>
    <row r="16" spans="1:110" ht="19" thickBot="1" x14ac:dyDescent="0.25">
      <c r="A16" s="24" t="s">
        <v>60</v>
      </c>
      <c r="B16" s="9" t="s">
        <v>68</v>
      </c>
      <c r="C16" s="13" t="s">
        <v>62</v>
      </c>
      <c r="D16" s="11">
        <v>2239000</v>
      </c>
      <c r="E16" s="12">
        <f t="shared" si="23"/>
        <v>425410</v>
      </c>
      <c r="F16" s="99">
        <f t="shared" si="12"/>
        <v>2664410</v>
      </c>
      <c r="G16" s="100"/>
      <c r="I16" s="9" t="s">
        <v>68</v>
      </c>
      <c r="J16" s="13" t="s">
        <v>62</v>
      </c>
      <c r="K16" s="11">
        <v>2350000</v>
      </c>
      <c r="L16" s="12">
        <v>0</v>
      </c>
      <c r="M16" s="155">
        <f>+K16+L16</f>
        <v>2350000</v>
      </c>
      <c r="N16" s="156"/>
      <c r="P16" s="34" t="s">
        <v>68</v>
      </c>
      <c r="Q16" s="38" t="s">
        <v>62</v>
      </c>
      <c r="R16" s="36">
        <v>1872780</v>
      </c>
      <c r="S16" s="37">
        <v>0</v>
      </c>
      <c r="T16" s="142">
        <f t="shared" si="13"/>
        <v>1872780</v>
      </c>
      <c r="U16" s="143"/>
      <c r="W16" s="9" t="s">
        <v>68</v>
      </c>
      <c r="X16" s="13" t="s">
        <v>62</v>
      </c>
      <c r="Y16" s="11">
        <v>1018600000</v>
      </c>
      <c r="Z16" s="12">
        <v>0</v>
      </c>
      <c r="AA16" s="114">
        <f>+Y16/1500</f>
        <v>679066.66666666663</v>
      </c>
      <c r="AB16" s="115"/>
      <c r="AD16" s="9" t="s">
        <v>68</v>
      </c>
      <c r="AE16" s="13" t="s">
        <v>62</v>
      </c>
      <c r="AF16" s="11">
        <v>1985456.4342293208</v>
      </c>
      <c r="AG16" s="12">
        <v>0</v>
      </c>
      <c r="AH16" s="114">
        <f t="shared" si="14"/>
        <v>1985456.4342293208</v>
      </c>
      <c r="AI16" s="115"/>
      <c r="AK16" s="9" t="s">
        <v>68</v>
      </c>
      <c r="AL16" s="13" t="s">
        <v>62</v>
      </c>
      <c r="AM16" s="11">
        <v>0</v>
      </c>
      <c r="AN16" s="12">
        <v>0</v>
      </c>
      <c r="AO16" s="151">
        <f t="shared" si="15"/>
        <v>0</v>
      </c>
      <c r="AP16" s="152"/>
      <c r="AR16" s="54" t="s">
        <v>68</v>
      </c>
      <c r="AS16" s="58" t="s">
        <v>62</v>
      </c>
      <c r="AT16" s="56">
        <v>3549849</v>
      </c>
      <c r="AU16" s="57">
        <v>0</v>
      </c>
      <c r="AV16" s="93">
        <f t="shared" si="16"/>
        <v>3549849</v>
      </c>
      <c r="AW16" s="94"/>
      <c r="AY16" s="34" t="s">
        <v>68</v>
      </c>
      <c r="AZ16" s="38" t="s">
        <v>62</v>
      </c>
      <c r="BA16" s="36">
        <v>5760000</v>
      </c>
      <c r="BB16" s="37">
        <v>0</v>
      </c>
      <c r="BC16" s="142">
        <f t="shared" si="17"/>
        <v>5760000</v>
      </c>
      <c r="BD16" s="143"/>
      <c r="BF16" s="54" t="s">
        <v>68</v>
      </c>
      <c r="BG16" s="58" t="s">
        <v>62</v>
      </c>
      <c r="BH16" s="56">
        <v>3678539.4377078414</v>
      </c>
      <c r="BI16" s="57">
        <v>0</v>
      </c>
      <c r="BJ16" s="93">
        <f t="shared" si="18"/>
        <v>3678539.4377078414</v>
      </c>
      <c r="BK16" s="94"/>
      <c r="BM16" s="9" t="s">
        <v>68</v>
      </c>
      <c r="BN16" s="13" t="s">
        <v>62</v>
      </c>
      <c r="BO16" s="11">
        <v>408600</v>
      </c>
      <c r="BP16" s="12">
        <v>0</v>
      </c>
      <c r="BQ16" s="99">
        <f t="shared" si="19"/>
        <v>408600</v>
      </c>
      <c r="BR16" s="100"/>
      <c r="BT16" s="9" t="s">
        <v>68</v>
      </c>
      <c r="BU16" s="13" t="s">
        <v>62</v>
      </c>
      <c r="BV16" s="11">
        <v>1400000</v>
      </c>
      <c r="BW16" s="12">
        <v>0</v>
      </c>
      <c r="BX16" s="99">
        <f>BV16+BW16</f>
        <v>1400000</v>
      </c>
      <c r="BY16" s="100"/>
      <c r="CA16" s="54" t="s">
        <v>68</v>
      </c>
      <c r="CB16" s="58" t="s">
        <v>62</v>
      </c>
      <c r="CC16" s="56">
        <v>3000000</v>
      </c>
      <c r="CD16" s="57">
        <v>0</v>
      </c>
      <c r="CE16" s="93">
        <f t="shared" si="20"/>
        <v>3000000</v>
      </c>
      <c r="CF16" s="94"/>
      <c r="CH16" s="9" t="s">
        <v>68</v>
      </c>
      <c r="CI16" s="13" t="s">
        <v>62</v>
      </c>
      <c r="CJ16" s="11">
        <v>2000000</v>
      </c>
      <c r="CK16" s="12">
        <v>0</v>
      </c>
      <c r="CL16" s="99">
        <f t="shared" si="21"/>
        <v>2000000</v>
      </c>
      <c r="CM16" s="100"/>
      <c r="CO16" s="9" t="s">
        <v>68</v>
      </c>
      <c r="CP16" s="13" t="s">
        <v>62</v>
      </c>
      <c r="CQ16" s="11">
        <v>943888.88888888841</v>
      </c>
      <c r="CR16" s="12">
        <f>CQ16*0.19</f>
        <v>179338.88888888879</v>
      </c>
      <c r="CS16" s="99">
        <f t="shared" si="22"/>
        <v>1123227.7777777773</v>
      </c>
      <c r="CT16" s="100"/>
      <c r="CV16" s="9" t="s">
        <v>68</v>
      </c>
      <c r="CW16" s="13" t="s">
        <v>62</v>
      </c>
      <c r="CX16" s="72">
        <f>+MAX(F16,M16,T16,AA16,AH16,AV16,BC16,BJ16,BQ16,BX16,CE16,CL16,CS16)</f>
        <v>5760000</v>
      </c>
      <c r="CY16" s="72">
        <f>+MIN(F16,M16,T16,AA16,AH16,AV16,BC16,BJ16,BQ16,BX16,CE16,CL16,CS16)</f>
        <v>408600</v>
      </c>
      <c r="CZ16" s="72">
        <f>+AVERAGE(F16,M16,T16,AA16,AH16,AV16,BC16,BJ16,BQ16,BX16,CE16,CL16,CS16)</f>
        <v>2343994.5627985848</v>
      </c>
      <c r="DA16" s="72">
        <f>+TRIMMEAN((F16,M16,T16,AA16,AH16,AV16,BC16,BJ16,BQ16,BX16,CE16,CL16,CS16),(2/13))</f>
        <v>2209393.5742165092</v>
      </c>
      <c r="DB16" s="72">
        <f>+MEDIAN(F16,M16,T16,AA16,AH16,AV16,BC16,BJ16,BQ16,BX16,CE16,CL16,CS16)</f>
        <v>2000000</v>
      </c>
      <c r="DC16" s="86" t="str">
        <f>IFERROR(MODE(F16,M16,T16,AA16,AH16,AV16,BC16,BJ16,BQ16,BX16,CE16,CL16,CS16),"N/A")</f>
        <v>N/A</v>
      </c>
      <c r="DD16" s="88">
        <f>+STDEV(F16,M16,T16,AA16,AH16,AV16,BC16,BJ16,BQ16,BX16,CE16,CL16,CS16)/CZ16</f>
        <v>0.61337342327885624</v>
      </c>
      <c r="DE16" t="s">
        <v>176</v>
      </c>
      <c r="DF16" t="s">
        <v>192</v>
      </c>
    </row>
    <row r="17" spans="1:110" ht="19" thickBot="1" x14ac:dyDescent="0.25">
      <c r="A17" s="24" t="s">
        <v>63</v>
      </c>
      <c r="B17" s="9" t="s">
        <v>69</v>
      </c>
      <c r="C17" s="14" t="s">
        <v>65</v>
      </c>
      <c r="D17" s="11">
        <v>2128000</v>
      </c>
      <c r="E17" s="12">
        <f t="shared" si="23"/>
        <v>404320</v>
      </c>
      <c r="F17" s="99">
        <f t="shared" si="12"/>
        <v>2532320</v>
      </c>
      <c r="G17" s="100"/>
      <c r="I17" s="9" t="s">
        <v>69</v>
      </c>
      <c r="J17" s="14" t="s">
        <v>65</v>
      </c>
      <c r="K17" s="11">
        <v>2320000</v>
      </c>
      <c r="L17" s="12">
        <v>0</v>
      </c>
      <c r="M17" s="155">
        <f>+K17+L17</f>
        <v>2320000</v>
      </c>
      <c r="N17" s="156"/>
      <c r="P17" s="34" t="s">
        <v>69</v>
      </c>
      <c r="Q17" s="39" t="s">
        <v>65</v>
      </c>
      <c r="R17" s="36">
        <v>1835324</v>
      </c>
      <c r="S17" s="37">
        <v>0</v>
      </c>
      <c r="T17" s="142">
        <f t="shared" si="13"/>
        <v>1835324</v>
      </c>
      <c r="U17" s="143"/>
      <c r="W17" s="9" t="s">
        <v>69</v>
      </c>
      <c r="X17" s="14" t="s">
        <v>65</v>
      </c>
      <c r="Y17" s="11">
        <v>1018600000</v>
      </c>
      <c r="Z17" s="12">
        <v>0</v>
      </c>
      <c r="AA17" s="114">
        <f>+Y17/1501</f>
        <v>678614.25716189202</v>
      </c>
      <c r="AB17" s="115"/>
      <c r="AD17" s="9" t="s">
        <v>69</v>
      </c>
      <c r="AE17" s="14" t="s">
        <v>65</v>
      </c>
      <c r="AF17" s="11">
        <v>1966180.1581688419</v>
      </c>
      <c r="AG17" s="12">
        <v>0</v>
      </c>
      <c r="AH17" s="114">
        <f t="shared" si="14"/>
        <v>1966180.1581688419</v>
      </c>
      <c r="AI17" s="115"/>
      <c r="AK17" s="9" t="s">
        <v>69</v>
      </c>
      <c r="AL17" s="14" t="s">
        <v>65</v>
      </c>
      <c r="AM17" s="11">
        <v>0</v>
      </c>
      <c r="AN17" s="12">
        <v>0</v>
      </c>
      <c r="AO17" s="151">
        <f t="shared" si="15"/>
        <v>0</v>
      </c>
      <c r="AP17" s="152"/>
      <c r="AR17" s="54" t="s">
        <v>69</v>
      </c>
      <c r="AS17" s="59" t="s">
        <v>65</v>
      </c>
      <c r="AT17" s="56">
        <v>3493783</v>
      </c>
      <c r="AU17" s="57">
        <v>0</v>
      </c>
      <c r="AV17" s="93">
        <f t="shared" si="16"/>
        <v>3493783</v>
      </c>
      <c r="AW17" s="94"/>
      <c r="AY17" s="34" t="s">
        <v>69</v>
      </c>
      <c r="AZ17" s="39" t="s">
        <v>65</v>
      </c>
      <c r="BA17" s="36">
        <v>5700000</v>
      </c>
      <c r="BB17" s="37">
        <v>0</v>
      </c>
      <c r="BC17" s="142">
        <f t="shared" si="17"/>
        <v>5700000</v>
      </c>
      <c r="BD17" s="143"/>
      <c r="BF17" s="54" t="s">
        <v>69</v>
      </c>
      <c r="BG17" s="59" t="s">
        <v>65</v>
      </c>
      <c r="BH17" s="56">
        <v>3620455.2088203183</v>
      </c>
      <c r="BI17" s="57">
        <v>0</v>
      </c>
      <c r="BJ17" s="93">
        <f t="shared" si="18"/>
        <v>3620455.2088203183</v>
      </c>
      <c r="BK17" s="94"/>
      <c r="BM17" s="9" t="s">
        <v>69</v>
      </c>
      <c r="BN17" s="14" t="s">
        <v>65</v>
      </c>
      <c r="BO17" s="11">
        <v>0</v>
      </c>
      <c r="BP17" s="12">
        <v>0</v>
      </c>
      <c r="BQ17" s="135">
        <f t="shared" si="19"/>
        <v>0</v>
      </c>
      <c r="BR17" s="136"/>
      <c r="BT17" s="9" t="s">
        <v>69</v>
      </c>
      <c r="BU17" s="14" t="s">
        <v>65</v>
      </c>
      <c r="BV17" s="11">
        <v>1330000</v>
      </c>
      <c r="BW17" s="12">
        <v>0</v>
      </c>
      <c r="BX17" s="99">
        <f>BV17+BW17</f>
        <v>1330000</v>
      </c>
      <c r="BY17" s="100"/>
      <c r="CA17" s="54" t="s">
        <v>69</v>
      </c>
      <c r="CB17" s="59" t="s">
        <v>65</v>
      </c>
      <c r="CC17" s="56">
        <v>3000000</v>
      </c>
      <c r="CD17" s="57">
        <v>0</v>
      </c>
      <c r="CE17" s="93">
        <f t="shared" si="20"/>
        <v>3000000</v>
      </c>
      <c r="CF17" s="94"/>
      <c r="CH17" s="9" t="s">
        <v>69</v>
      </c>
      <c r="CI17" s="14" t="s">
        <v>65</v>
      </c>
      <c r="CJ17" s="11">
        <v>2000000</v>
      </c>
      <c r="CK17" s="12">
        <v>0</v>
      </c>
      <c r="CL17" s="99">
        <f t="shared" si="21"/>
        <v>2000000</v>
      </c>
      <c r="CM17" s="100"/>
      <c r="CO17" s="9" t="s">
        <v>69</v>
      </c>
      <c r="CP17" s="14" t="s">
        <v>65</v>
      </c>
      <c r="CQ17" s="11">
        <v>913888.88888888841</v>
      </c>
      <c r="CR17" s="12">
        <f>CQ17*0.19</f>
        <v>173638.88888888879</v>
      </c>
      <c r="CS17" s="99">
        <f t="shared" si="22"/>
        <v>1087527.7777777773</v>
      </c>
      <c r="CT17" s="100"/>
      <c r="CV17" s="9" t="s">
        <v>69</v>
      </c>
      <c r="CW17" s="14" t="s">
        <v>65</v>
      </c>
      <c r="CX17" s="72">
        <f>+MAX(F17,M17,T17,AA17,AH17,AV17,BC17,BJ17,BX17,CE17,CL17,CS17)</f>
        <v>5700000</v>
      </c>
      <c r="CY17" s="72">
        <f>+MIN(F17,M17,T17,AA17,AH17,AV17,BC17,BJ17,BX17,CE17,CL17,CS17)</f>
        <v>678614.25716189202</v>
      </c>
      <c r="CZ17" s="72">
        <f>+AVERAGE(F17,M17,T17,AA17,AH17,AV17,BC17,BJ17,BX17,CE17,CL17,CS17)</f>
        <v>2463683.7001607358</v>
      </c>
      <c r="DA17" s="72">
        <f>+TRIMMEAN((F17,M17,T17,AA17,AH17,AV17,BC17,BJ17,BX17,CE17,CL17,CS17),(2/12))</f>
        <v>2318559.0144766932</v>
      </c>
      <c r="DB17" s="72">
        <f>+MEDIAN(F17,M17,T17,AA17,AH17,AV17,BC17,BJ17,BX17,CE17,CL17,CS17)</f>
        <v>2160000</v>
      </c>
      <c r="DC17" s="86" t="str">
        <f>IFERROR(MODE(F17,M17,T17,AA17,AH17,AV17,BC17,BJ17,BX17,CE17,CL17,CS17),"N/A")</f>
        <v>N/A</v>
      </c>
      <c r="DD17" s="88">
        <f>+STDEV(F17,M17,T17,AA17,AH17,AV17,BC17,BJ17,BX17,CE17,CL17,CS17)/CZ17</f>
        <v>0.55287595169937342</v>
      </c>
      <c r="DE17" t="s">
        <v>176</v>
      </c>
      <c r="DF17" t="s">
        <v>192</v>
      </c>
    </row>
    <row r="18" spans="1:110" ht="91" thickBot="1" x14ac:dyDescent="0.25">
      <c r="A18" s="1" t="s">
        <v>70</v>
      </c>
      <c r="B18" s="103" t="s">
        <v>71</v>
      </c>
      <c r="C18" s="104"/>
      <c r="D18" s="104"/>
      <c r="E18" s="105"/>
      <c r="F18" s="18" t="s">
        <v>3</v>
      </c>
      <c r="G18" s="19" t="s">
        <v>27</v>
      </c>
      <c r="I18" s="15" t="s">
        <v>71</v>
      </c>
      <c r="J18" s="16"/>
      <c r="K18" s="16"/>
      <c r="L18" s="17"/>
      <c r="M18" s="18" t="s">
        <v>3</v>
      </c>
      <c r="N18" s="19" t="s">
        <v>27</v>
      </c>
      <c r="P18" s="144" t="s">
        <v>71</v>
      </c>
      <c r="Q18" s="145"/>
      <c r="R18" s="145"/>
      <c r="S18" s="146"/>
      <c r="T18" s="40" t="s">
        <v>3</v>
      </c>
      <c r="U18" s="41" t="s">
        <v>27</v>
      </c>
      <c r="W18" s="103" t="s">
        <v>71</v>
      </c>
      <c r="X18" s="104"/>
      <c r="Y18" s="104"/>
      <c r="Z18" s="105"/>
      <c r="AA18" s="18" t="s">
        <v>3</v>
      </c>
      <c r="AB18" s="19" t="s">
        <v>27</v>
      </c>
      <c r="AD18" s="103" t="s">
        <v>71</v>
      </c>
      <c r="AE18" s="104"/>
      <c r="AF18" s="104"/>
      <c r="AG18" s="105"/>
      <c r="AH18" s="18" t="s">
        <v>3</v>
      </c>
      <c r="AI18" s="19" t="s">
        <v>27</v>
      </c>
      <c r="AK18" s="103" t="s">
        <v>71</v>
      </c>
      <c r="AL18" s="104"/>
      <c r="AM18" s="104"/>
      <c r="AN18" s="105"/>
      <c r="AO18" s="18" t="s">
        <v>3</v>
      </c>
      <c r="AP18" s="19" t="s">
        <v>27</v>
      </c>
      <c r="AR18" s="95" t="s">
        <v>71</v>
      </c>
      <c r="AS18" s="96"/>
      <c r="AT18" s="96"/>
      <c r="AU18" s="97"/>
      <c r="AV18" s="60" t="s">
        <v>3</v>
      </c>
      <c r="AW18" s="61" t="s">
        <v>27</v>
      </c>
      <c r="AY18" s="144" t="s">
        <v>71</v>
      </c>
      <c r="AZ18" s="145"/>
      <c r="BA18" s="145"/>
      <c r="BB18" s="146"/>
      <c r="BC18" s="40" t="s">
        <v>3</v>
      </c>
      <c r="BD18" s="41" t="s">
        <v>27</v>
      </c>
      <c r="BF18" s="95" t="s">
        <v>71</v>
      </c>
      <c r="BG18" s="96"/>
      <c r="BH18" s="96"/>
      <c r="BI18" s="97"/>
      <c r="BJ18" s="60" t="s">
        <v>3</v>
      </c>
      <c r="BK18" s="61" t="s">
        <v>27</v>
      </c>
      <c r="BM18" s="103" t="s">
        <v>71</v>
      </c>
      <c r="BN18" s="104"/>
      <c r="BO18" s="104"/>
      <c r="BP18" s="105"/>
      <c r="BQ18" s="18" t="s">
        <v>3</v>
      </c>
      <c r="BR18" s="19" t="s">
        <v>27</v>
      </c>
      <c r="BT18" s="103" t="s">
        <v>71</v>
      </c>
      <c r="BU18" s="104"/>
      <c r="BV18" s="104"/>
      <c r="BW18" s="105"/>
      <c r="BX18" s="18" t="s">
        <v>3</v>
      </c>
      <c r="BY18" s="19" t="s">
        <v>27</v>
      </c>
      <c r="CA18" s="95" t="s">
        <v>71</v>
      </c>
      <c r="CB18" s="96"/>
      <c r="CC18" s="96"/>
      <c r="CD18" s="97"/>
      <c r="CE18" s="60" t="s">
        <v>3</v>
      </c>
      <c r="CF18" s="61" t="s">
        <v>27</v>
      </c>
      <c r="CH18" s="103" t="s">
        <v>71</v>
      </c>
      <c r="CI18" s="104"/>
      <c r="CJ18" s="104"/>
      <c r="CK18" s="105"/>
      <c r="CL18" s="18" t="s">
        <v>3</v>
      </c>
      <c r="CM18" s="19" t="s">
        <v>27</v>
      </c>
      <c r="CO18" s="103" t="s">
        <v>71</v>
      </c>
      <c r="CP18" s="104"/>
      <c r="CQ18" s="104"/>
      <c r="CR18" s="105"/>
      <c r="CS18" s="18" t="s">
        <v>3</v>
      </c>
      <c r="CT18" s="19" t="s">
        <v>27</v>
      </c>
    </row>
    <row r="19" spans="1:110" ht="46" customHeight="1" thickBot="1" x14ac:dyDescent="0.25">
      <c r="A19" s="3" t="s">
        <v>5</v>
      </c>
      <c r="B19" s="20" t="s">
        <v>6</v>
      </c>
      <c r="C19" s="20" t="s">
        <v>7</v>
      </c>
      <c r="D19" s="20" t="s">
        <v>8</v>
      </c>
      <c r="E19" s="21" t="s">
        <v>9</v>
      </c>
      <c r="F19" s="106" t="s">
        <v>21</v>
      </c>
      <c r="G19" s="107"/>
      <c r="I19" s="20" t="s">
        <v>6</v>
      </c>
      <c r="J19" s="20" t="s">
        <v>7</v>
      </c>
      <c r="K19" s="20" t="s">
        <v>8</v>
      </c>
      <c r="L19" s="21" t="s">
        <v>9</v>
      </c>
      <c r="M19" s="22" t="s">
        <v>21</v>
      </c>
      <c r="N19" s="23"/>
      <c r="P19" s="42" t="s">
        <v>6</v>
      </c>
      <c r="Q19" s="42" t="s">
        <v>7</v>
      </c>
      <c r="R19" s="42" t="s">
        <v>8</v>
      </c>
      <c r="S19" s="43" t="s">
        <v>9</v>
      </c>
      <c r="T19" s="147" t="s">
        <v>21</v>
      </c>
      <c r="U19" s="148"/>
      <c r="W19" s="20" t="s">
        <v>6</v>
      </c>
      <c r="X19" s="20" t="s">
        <v>7</v>
      </c>
      <c r="Y19" s="20" t="s">
        <v>8</v>
      </c>
      <c r="Z19" s="21" t="s">
        <v>9</v>
      </c>
      <c r="AA19" s="106" t="s">
        <v>21</v>
      </c>
      <c r="AB19" s="107"/>
      <c r="AD19" s="20" t="s">
        <v>6</v>
      </c>
      <c r="AE19" s="20" t="s">
        <v>7</v>
      </c>
      <c r="AF19" s="20" t="s">
        <v>8</v>
      </c>
      <c r="AG19" s="21" t="s">
        <v>9</v>
      </c>
      <c r="AH19" s="106" t="s">
        <v>21</v>
      </c>
      <c r="AI19" s="107"/>
      <c r="AK19" s="20" t="s">
        <v>6</v>
      </c>
      <c r="AL19" s="20" t="s">
        <v>7</v>
      </c>
      <c r="AM19" s="20" t="s">
        <v>8</v>
      </c>
      <c r="AN19" s="21" t="s">
        <v>9</v>
      </c>
      <c r="AO19" s="106" t="s">
        <v>21</v>
      </c>
      <c r="AP19" s="107"/>
      <c r="AR19" s="52" t="s">
        <v>6</v>
      </c>
      <c r="AS19" s="52" t="s">
        <v>7</v>
      </c>
      <c r="AT19" s="52" t="s">
        <v>8</v>
      </c>
      <c r="AU19" s="53" t="s">
        <v>9</v>
      </c>
      <c r="AV19" s="98" t="s">
        <v>21</v>
      </c>
      <c r="AW19" s="97"/>
      <c r="AY19" s="42" t="s">
        <v>6</v>
      </c>
      <c r="AZ19" s="42" t="s">
        <v>7</v>
      </c>
      <c r="BA19" s="42" t="s">
        <v>8</v>
      </c>
      <c r="BB19" s="43" t="s">
        <v>9</v>
      </c>
      <c r="BC19" s="147" t="s">
        <v>21</v>
      </c>
      <c r="BD19" s="148"/>
      <c r="BF19" s="52" t="s">
        <v>6</v>
      </c>
      <c r="BG19" s="52" t="s">
        <v>7</v>
      </c>
      <c r="BH19" s="52" t="s">
        <v>8</v>
      </c>
      <c r="BI19" s="53" t="s">
        <v>9</v>
      </c>
      <c r="BJ19" s="98" t="s">
        <v>21</v>
      </c>
      <c r="BK19" s="97"/>
      <c r="BM19" s="20" t="s">
        <v>6</v>
      </c>
      <c r="BN19" s="20" t="s">
        <v>7</v>
      </c>
      <c r="BO19" s="20" t="s">
        <v>8</v>
      </c>
      <c r="BP19" s="21" t="s">
        <v>9</v>
      </c>
      <c r="BQ19" s="106" t="s">
        <v>21</v>
      </c>
      <c r="BR19" s="107"/>
      <c r="BT19" s="20" t="s">
        <v>6</v>
      </c>
      <c r="BU19" s="20" t="s">
        <v>7</v>
      </c>
      <c r="BV19" s="20" t="s">
        <v>8</v>
      </c>
      <c r="BW19" s="21" t="s">
        <v>9</v>
      </c>
      <c r="BX19" s="106" t="s">
        <v>21</v>
      </c>
      <c r="BY19" s="107"/>
      <c r="CA19" s="52" t="s">
        <v>6</v>
      </c>
      <c r="CB19" s="52" t="s">
        <v>7</v>
      </c>
      <c r="CC19" s="52" t="s">
        <v>8</v>
      </c>
      <c r="CD19" s="53" t="s">
        <v>9</v>
      </c>
      <c r="CE19" s="98" t="s">
        <v>21</v>
      </c>
      <c r="CF19" s="97"/>
      <c r="CH19" s="20" t="s">
        <v>6</v>
      </c>
      <c r="CI19" s="20" t="s">
        <v>7</v>
      </c>
      <c r="CJ19" s="20" t="s">
        <v>8</v>
      </c>
      <c r="CK19" s="21" t="s">
        <v>9</v>
      </c>
      <c r="CL19" s="106" t="s">
        <v>21</v>
      </c>
      <c r="CM19" s="107"/>
      <c r="CO19" s="20" t="s">
        <v>6</v>
      </c>
      <c r="CP19" s="20" t="s">
        <v>7</v>
      </c>
      <c r="CQ19" s="20" t="s">
        <v>8</v>
      </c>
      <c r="CR19" s="21" t="s">
        <v>9</v>
      </c>
      <c r="CS19" s="106" t="s">
        <v>21</v>
      </c>
      <c r="CT19" s="107"/>
      <c r="CV19" s="68" t="s">
        <v>6</v>
      </c>
      <c r="CW19" s="68" t="s">
        <v>7</v>
      </c>
      <c r="CX19" s="69" t="s">
        <v>268</v>
      </c>
      <c r="CY19" s="69" t="s">
        <v>269</v>
      </c>
      <c r="CZ19" s="69" t="s">
        <v>270</v>
      </c>
      <c r="DA19" s="69" t="s">
        <v>273</v>
      </c>
      <c r="DB19" s="69" t="s">
        <v>271</v>
      </c>
      <c r="DC19" s="69" t="s">
        <v>272</v>
      </c>
      <c r="DE19" s="92" t="s">
        <v>291</v>
      </c>
      <c r="DF19" s="92" t="s">
        <v>292</v>
      </c>
    </row>
    <row r="20" spans="1:110" ht="19" thickBot="1" x14ac:dyDescent="0.25">
      <c r="A20" s="24" t="s">
        <v>54</v>
      </c>
      <c r="B20" s="9" t="s">
        <v>72</v>
      </c>
      <c r="C20" s="10" t="s">
        <v>56</v>
      </c>
      <c r="D20" s="11">
        <v>3859000</v>
      </c>
      <c r="E20" s="12">
        <f>(D20*19)/100</f>
        <v>733210</v>
      </c>
      <c r="F20" s="99">
        <f>D20+E20</f>
        <v>4592210</v>
      </c>
      <c r="G20" s="100"/>
      <c r="I20" s="9" t="s">
        <v>72</v>
      </c>
      <c r="J20" s="10" t="s">
        <v>56</v>
      </c>
      <c r="K20" s="11">
        <v>2750000</v>
      </c>
      <c r="L20" s="12">
        <v>0</v>
      </c>
      <c r="M20" s="155">
        <f>+K20+L20</f>
        <v>2750000</v>
      </c>
      <c r="N20" s="156"/>
      <c r="P20" s="34" t="s">
        <v>72</v>
      </c>
      <c r="Q20" s="35" t="s">
        <v>56</v>
      </c>
      <c r="R20" s="36">
        <v>1950000</v>
      </c>
      <c r="S20" s="37">
        <v>0</v>
      </c>
      <c r="T20" s="142">
        <f>R20+S20</f>
        <v>1950000</v>
      </c>
      <c r="U20" s="143"/>
      <c r="W20" s="9" t="s">
        <v>72</v>
      </c>
      <c r="X20" s="10" t="s">
        <v>56</v>
      </c>
      <c r="Y20" s="11">
        <v>561500000</v>
      </c>
      <c r="Z20" s="12">
        <v>0</v>
      </c>
      <c r="AA20" s="114">
        <f>+Y20/500</f>
        <v>1123000</v>
      </c>
      <c r="AB20" s="115"/>
      <c r="AD20" s="9" t="s">
        <v>72</v>
      </c>
      <c r="AE20" s="10" t="s">
        <v>56</v>
      </c>
      <c r="AF20" s="11">
        <v>2005114.4187266408</v>
      </c>
      <c r="AG20" s="12">
        <v>0</v>
      </c>
      <c r="AH20" s="114">
        <f>AF20+AG20</f>
        <v>2005114.4187266408</v>
      </c>
      <c r="AI20" s="115"/>
      <c r="AK20" s="9" t="s">
        <v>72</v>
      </c>
      <c r="AL20" s="10" t="s">
        <v>56</v>
      </c>
      <c r="AM20" s="11">
        <v>3483000</v>
      </c>
      <c r="AN20" s="12">
        <v>817000</v>
      </c>
      <c r="AO20" s="114">
        <f>AM20+AN20</f>
        <v>4300000</v>
      </c>
      <c r="AP20" s="115"/>
      <c r="AR20" s="54" t="s">
        <v>72</v>
      </c>
      <c r="AS20" s="55" t="s">
        <v>56</v>
      </c>
      <c r="AT20" s="56">
        <v>2896351</v>
      </c>
      <c r="AU20" s="57">
        <v>0</v>
      </c>
      <c r="AV20" s="93">
        <f t="shared" ref="AV20:AV23" si="24">AT20+AU20</f>
        <v>2896351</v>
      </c>
      <c r="AW20" s="94"/>
      <c r="AY20" s="34" t="s">
        <v>72</v>
      </c>
      <c r="AZ20" s="35" t="s">
        <v>56</v>
      </c>
      <c r="BA20" s="36">
        <v>7350000</v>
      </c>
      <c r="BB20" s="37">
        <v>0</v>
      </c>
      <c r="BC20" s="142">
        <f>BA20+BB20</f>
        <v>7350000</v>
      </c>
      <c r="BD20" s="143"/>
      <c r="BF20" s="54" t="s">
        <v>72</v>
      </c>
      <c r="BG20" s="55" t="s">
        <v>56</v>
      </c>
      <c r="BH20" s="56">
        <v>3001348.2702506655</v>
      </c>
      <c r="BI20" s="57">
        <v>0</v>
      </c>
      <c r="BJ20" s="93">
        <f t="shared" ref="BJ20:BJ23" si="25">BH20+BI20</f>
        <v>3001348.2702506655</v>
      </c>
      <c r="BK20" s="94"/>
      <c r="BM20" s="9" t="s">
        <v>72</v>
      </c>
      <c r="BN20" s="10" t="s">
        <v>56</v>
      </c>
      <c r="BO20" s="11">
        <v>448600</v>
      </c>
      <c r="BP20" s="12">
        <v>0</v>
      </c>
      <c r="BQ20" s="99">
        <f>BO20+BP20</f>
        <v>448600</v>
      </c>
      <c r="BR20" s="100"/>
      <c r="BT20" s="9" t="s">
        <v>72</v>
      </c>
      <c r="BU20" s="10" t="s">
        <v>56</v>
      </c>
      <c r="BV20" s="11">
        <v>2560000</v>
      </c>
      <c r="BW20" s="12">
        <v>0</v>
      </c>
      <c r="BX20" s="99">
        <f>BV20+BW20</f>
        <v>2560000</v>
      </c>
      <c r="BY20" s="100"/>
      <c r="CA20" s="54" t="s">
        <v>72</v>
      </c>
      <c r="CB20" s="55" t="s">
        <v>56</v>
      </c>
      <c r="CC20" s="56">
        <v>3000000</v>
      </c>
      <c r="CD20" s="57">
        <v>0</v>
      </c>
      <c r="CE20" s="93">
        <f t="shared" ref="CE20:CE23" si="26">CC20+CD20</f>
        <v>3000000</v>
      </c>
      <c r="CF20" s="94"/>
      <c r="CH20" s="9" t="s">
        <v>72</v>
      </c>
      <c r="CI20" s="10" t="s">
        <v>56</v>
      </c>
      <c r="CJ20" s="11">
        <v>2500000</v>
      </c>
      <c r="CK20" s="12">
        <v>0</v>
      </c>
      <c r="CL20" s="99">
        <f>CJ20+CK20</f>
        <v>2500000</v>
      </c>
      <c r="CM20" s="100"/>
      <c r="CO20" s="9" t="s">
        <v>72</v>
      </c>
      <c r="CP20" s="10" t="s">
        <v>56</v>
      </c>
      <c r="CQ20" s="11">
        <v>943888.88888888841</v>
      </c>
      <c r="CR20" s="12">
        <f>CQ20*0.19</f>
        <v>179338.88888888879</v>
      </c>
      <c r="CS20" s="99">
        <f>CQ20+CR20</f>
        <v>1123227.7777777773</v>
      </c>
      <c r="CT20" s="100"/>
      <c r="CV20" s="73" t="s">
        <v>66</v>
      </c>
      <c r="CW20" s="74" t="s">
        <v>56</v>
      </c>
      <c r="CX20" s="72">
        <f>+MAX(F20,M20,T20,AA20,AH20,AO20,AV20,BC20,BJ20,BQ20,BX20,CE20,CL20,CS20)</f>
        <v>7350000</v>
      </c>
      <c r="CY20" s="72">
        <f>+MIN(F20,M20,T20,AA20,AH20,AO20,AV20,BC20,BJ20,BQ20,BX20,CE20,CL20,CS20)</f>
        <v>448600</v>
      </c>
      <c r="CZ20" s="72">
        <f>+AVERAGE(F20,M20,T20,AA20,AH20,AO20,AV20,BC20,BJ20,BQ20,BX20,CE20,CL20,CS20)</f>
        <v>2828560.8190539344</v>
      </c>
      <c r="DA20" s="72">
        <f>+TRIMMEAN((F20,M20,T20,AA20,AH20,AO20,AV20,BC20,BJ20,BQ20,BX20,CE20,CL20,CS20),(2/14))</f>
        <v>2650104.2888962571</v>
      </c>
      <c r="DB20" s="72">
        <f>+MEDIAN(F20,M20,T20,AA20,AH20,AO20,AV20,BC20,BJ20,BQ20,BX20,CE20,CL20,CS20)</f>
        <v>2655000</v>
      </c>
      <c r="DC20" s="86" t="str">
        <f>IFERROR(MODE(F20,M20,T20,AA20,AH20,AO20,AV20,BC20,BJ20,BQ20,BX20,CE20,CL20,CS20),"N/A")</f>
        <v>N/A</v>
      </c>
      <c r="DD20" s="88">
        <f>+STDEV(F20,M20,T20,AA20,AH20,AO20,AV20,BC20,BJ20,BQ20,BX20,CE20,CL20,CS20)/CZ20</f>
        <v>0.61156060729140616</v>
      </c>
      <c r="DE20" t="s">
        <v>176</v>
      </c>
      <c r="DF20" t="s">
        <v>192</v>
      </c>
    </row>
    <row r="21" spans="1:110" ht="19" thickBot="1" x14ac:dyDescent="0.25">
      <c r="A21" s="24" t="s">
        <v>57</v>
      </c>
      <c r="B21" s="9" t="s">
        <v>73</v>
      </c>
      <c r="C21" s="13" t="s">
        <v>59</v>
      </c>
      <c r="D21" s="11">
        <v>2664000</v>
      </c>
      <c r="E21" s="12">
        <f t="shared" ref="E21:E23" si="27">(D21*19)/100</f>
        <v>506160</v>
      </c>
      <c r="F21" s="99">
        <f t="shared" ref="F21:F23" si="28">D21+E21</f>
        <v>3170160</v>
      </c>
      <c r="G21" s="100"/>
      <c r="I21" s="9" t="s">
        <v>73</v>
      </c>
      <c r="J21" s="13" t="s">
        <v>59</v>
      </c>
      <c r="K21" s="11">
        <v>2450000</v>
      </c>
      <c r="L21" s="12">
        <v>0</v>
      </c>
      <c r="M21" s="155">
        <f>+K21+L21</f>
        <v>2450000</v>
      </c>
      <c r="N21" s="156"/>
      <c r="P21" s="34" t="s">
        <v>73</v>
      </c>
      <c r="Q21" s="38" t="s">
        <v>59</v>
      </c>
      <c r="R21" s="36">
        <v>1911000</v>
      </c>
      <c r="S21" s="37">
        <v>0</v>
      </c>
      <c r="T21" s="142">
        <f t="shared" ref="T21:T23" si="29">R21+S21</f>
        <v>1911000</v>
      </c>
      <c r="U21" s="143"/>
      <c r="W21" s="9" t="s">
        <v>73</v>
      </c>
      <c r="X21" s="13" t="s">
        <v>59</v>
      </c>
      <c r="Y21" s="11">
        <v>981000000</v>
      </c>
      <c r="Z21" s="12">
        <v>0</v>
      </c>
      <c r="AA21" s="114">
        <f>+Y21/1000</f>
        <v>981000</v>
      </c>
      <c r="AB21" s="115"/>
      <c r="AD21" s="9" t="s">
        <v>73</v>
      </c>
      <c r="AE21" s="13" t="s">
        <v>59</v>
      </c>
      <c r="AF21" s="11">
        <v>1985456.4342293208</v>
      </c>
      <c r="AG21" s="12">
        <v>0</v>
      </c>
      <c r="AH21" s="114">
        <f t="shared" ref="AH21:AH23" si="30">AF21+AG21</f>
        <v>1985456.4342293208</v>
      </c>
      <c r="AI21" s="115"/>
      <c r="AK21" s="9" t="s">
        <v>73</v>
      </c>
      <c r="AL21" s="13" t="s">
        <v>59</v>
      </c>
      <c r="AM21" s="12">
        <v>0</v>
      </c>
      <c r="AN21" s="12">
        <v>0</v>
      </c>
      <c r="AO21" s="151">
        <f>+AM21+AN21</f>
        <v>0</v>
      </c>
      <c r="AP21" s="152"/>
      <c r="AR21" s="54" t="s">
        <v>73</v>
      </c>
      <c r="AS21" s="58" t="s">
        <v>59</v>
      </c>
      <c r="AT21" s="56">
        <v>2850803</v>
      </c>
      <c r="AU21" s="57">
        <v>0</v>
      </c>
      <c r="AV21" s="93">
        <f t="shared" si="24"/>
        <v>2850803</v>
      </c>
      <c r="AW21" s="94"/>
      <c r="AY21" s="34" t="s">
        <v>73</v>
      </c>
      <c r="AZ21" s="38" t="s">
        <v>59</v>
      </c>
      <c r="BA21" s="36">
        <v>5950000</v>
      </c>
      <c r="BB21" s="37">
        <v>0</v>
      </c>
      <c r="BC21" s="142">
        <f t="shared" ref="BC21:BC23" si="31">BA21+BB21</f>
        <v>5950000</v>
      </c>
      <c r="BD21" s="143"/>
      <c r="BF21" s="54" t="s">
        <v>73</v>
      </c>
      <c r="BG21" s="58" t="s">
        <v>59</v>
      </c>
      <c r="BH21" s="56">
        <v>2954113.3867952316</v>
      </c>
      <c r="BI21" s="57">
        <v>0</v>
      </c>
      <c r="BJ21" s="93">
        <f t="shared" si="25"/>
        <v>2954113.3867952316</v>
      </c>
      <c r="BK21" s="94"/>
      <c r="BM21" s="9" t="s">
        <v>73</v>
      </c>
      <c r="BN21" s="13" t="s">
        <v>59</v>
      </c>
      <c r="BO21" s="11">
        <v>425300</v>
      </c>
      <c r="BP21" s="12">
        <v>0</v>
      </c>
      <c r="BQ21" s="99">
        <f t="shared" ref="BQ21:BQ23" si="32">BO21+BP21</f>
        <v>425300</v>
      </c>
      <c r="BR21" s="100"/>
      <c r="BT21" s="9" t="s">
        <v>73</v>
      </c>
      <c r="BU21" s="13" t="s">
        <v>59</v>
      </c>
      <c r="BV21" s="11">
        <v>2110000</v>
      </c>
      <c r="BW21" s="12">
        <v>0</v>
      </c>
      <c r="BX21" s="99">
        <f>BV21+BW21</f>
        <v>2110000</v>
      </c>
      <c r="BY21" s="100"/>
      <c r="CA21" s="54" t="s">
        <v>73</v>
      </c>
      <c r="CB21" s="58" t="s">
        <v>59</v>
      </c>
      <c r="CC21" s="56">
        <v>3000000</v>
      </c>
      <c r="CD21" s="57">
        <v>0</v>
      </c>
      <c r="CE21" s="93">
        <f t="shared" si="26"/>
        <v>3000000</v>
      </c>
      <c r="CF21" s="94"/>
      <c r="CH21" s="9" t="s">
        <v>73</v>
      </c>
      <c r="CI21" s="13" t="s">
        <v>59</v>
      </c>
      <c r="CJ21" s="11">
        <v>2200000</v>
      </c>
      <c r="CK21" s="12">
        <v>0</v>
      </c>
      <c r="CL21" s="99">
        <f t="shared" ref="CL21:CL23" si="33">CJ21+CK21</f>
        <v>2200000</v>
      </c>
      <c r="CM21" s="100"/>
      <c r="CO21" s="9" t="s">
        <v>73</v>
      </c>
      <c r="CP21" s="13" t="s">
        <v>59</v>
      </c>
      <c r="CQ21" s="11">
        <v>943888.88888888841</v>
      </c>
      <c r="CR21" s="12">
        <f>CQ21*0.19</f>
        <v>179338.88888888879</v>
      </c>
      <c r="CS21" s="99">
        <f t="shared" ref="CS21:CS23" si="34">CQ21+CR21</f>
        <v>1123227.7777777773</v>
      </c>
      <c r="CT21" s="100"/>
      <c r="CV21" s="73" t="s">
        <v>67</v>
      </c>
      <c r="CW21" s="74" t="s">
        <v>59</v>
      </c>
      <c r="CX21" s="72">
        <f>+MAX(F21,M21,T21,AA21,AH21,AV21,BC21,BJ21,BQ21,BX21,CE21,CL21,CS21)</f>
        <v>5950000</v>
      </c>
      <c r="CY21" s="72">
        <f>+MIN(F21,M21,T21,AA21,AH21,AV21,BC21,BJ21,BQ21,BX21,CE21,CL21,CS21)</f>
        <v>425300</v>
      </c>
      <c r="CZ21" s="72">
        <f>+AVERAGE(F21,M21,T21,AA21,AH21,AV21,BC21,BJ21,BQ21,BX21,CE21,CL21,CS21)</f>
        <v>2393158.5076001789</v>
      </c>
      <c r="DA21" s="72">
        <f>+TRIMMEAN((F21,M21,T21,AA21,AH21,AV21,BC21,BJ21,BQ21,BX21,CE21,CL21,CS21),(2/13))</f>
        <v>2248705.5089820297</v>
      </c>
      <c r="DB21" s="72">
        <f>+MEDIAN(F21,M21,T21,AA21,AH21,AV21,BC21,BJ21,BQ21,BX21,CE21,CL21,CS21)</f>
        <v>2200000</v>
      </c>
      <c r="DC21" s="86" t="str">
        <f>IFERROR(MODE(F21,M21,T21,AA21,AH21,AV21,BC21,BJ21,BQ21,BX21,CE21,CL21,CS21),"N/A")</f>
        <v>N/A</v>
      </c>
      <c r="DD21" s="88">
        <f>+STDEV(F21,M21,T21,AA21,AH21,AV21,BC21,BJ21,BQ21,BX21,CE21,CL21,CS21)/CZ21</f>
        <v>0.56765666800802694</v>
      </c>
      <c r="DE21" t="s">
        <v>176</v>
      </c>
      <c r="DF21" t="s">
        <v>192</v>
      </c>
    </row>
    <row r="22" spans="1:110" ht="19" thickBot="1" x14ac:dyDescent="0.25">
      <c r="A22" s="24" t="s">
        <v>60</v>
      </c>
      <c r="B22" s="9" t="s">
        <v>74</v>
      </c>
      <c r="C22" s="13" t="s">
        <v>62</v>
      </c>
      <c r="D22" s="11">
        <v>2239000</v>
      </c>
      <c r="E22" s="12">
        <f t="shared" si="27"/>
        <v>425410</v>
      </c>
      <c r="F22" s="99">
        <f t="shared" si="28"/>
        <v>2664410</v>
      </c>
      <c r="G22" s="100"/>
      <c r="I22" s="9" t="s">
        <v>74</v>
      </c>
      <c r="J22" s="13" t="s">
        <v>62</v>
      </c>
      <c r="K22" s="11">
        <v>2350000</v>
      </c>
      <c r="L22" s="12">
        <v>0</v>
      </c>
      <c r="M22" s="155">
        <f>+K22+L22</f>
        <v>2350000</v>
      </c>
      <c r="N22" s="156"/>
      <c r="P22" s="34" t="s">
        <v>74</v>
      </c>
      <c r="Q22" s="38" t="s">
        <v>62</v>
      </c>
      <c r="R22" s="36">
        <v>1872780</v>
      </c>
      <c r="S22" s="37">
        <v>0</v>
      </c>
      <c r="T22" s="142">
        <f t="shared" si="29"/>
        <v>1872780</v>
      </c>
      <c r="U22" s="143"/>
      <c r="W22" s="9" t="s">
        <v>74</v>
      </c>
      <c r="X22" s="13" t="s">
        <v>62</v>
      </c>
      <c r="Y22" s="11">
        <v>1018600000</v>
      </c>
      <c r="Z22" s="12">
        <v>0</v>
      </c>
      <c r="AA22" s="114">
        <f>+Y22/1500</f>
        <v>679066.66666666663</v>
      </c>
      <c r="AB22" s="115"/>
      <c r="AD22" s="9" t="s">
        <v>74</v>
      </c>
      <c r="AE22" s="13" t="s">
        <v>62</v>
      </c>
      <c r="AF22" s="11">
        <v>1966180.1581688419</v>
      </c>
      <c r="AG22" s="12">
        <v>0</v>
      </c>
      <c r="AH22" s="114">
        <f t="shared" si="30"/>
        <v>1966180.1581688419</v>
      </c>
      <c r="AI22" s="115"/>
      <c r="AK22" s="9" t="s">
        <v>74</v>
      </c>
      <c r="AL22" s="13" t="s">
        <v>62</v>
      </c>
      <c r="AM22" s="11">
        <v>0</v>
      </c>
      <c r="AN22" s="12">
        <v>0</v>
      </c>
      <c r="AO22" s="151">
        <f t="shared" ref="AO22:AO23" si="35">AM22+AN22</f>
        <v>0</v>
      </c>
      <c r="AP22" s="152"/>
      <c r="AR22" s="54" t="s">
        <v>74</v>
      </c>
      <c r="AS22" s="58" t="s">
        <v>62</v>
      </c>
      <c r="AT22" s="56">
        <v>2805062</v>
      </c>
      <c r="AU22" s="57">
        <v>0</v>
      </c>
      <c r="AV22" s="93">
        <f t="shared" si="24"/>
        <v>2805062</v>
      </c>
      <c r="AW22" s="94"/>
      <c r="AY22" s="34" t="s">
        <v>74</v>
      </c>
      <c r="AZ22" s="38" t="s">
        <v>62</v>
      </c>
      <c r="BA22" s="36">
        <v>5760000</v>
      </c>
      <c r="BB22" s="37">
        <v>0</v>
      </c>
      <c r="BC22" s="142">
        <f t="shared" si="31"/>
        <v>5760000</v>
      </c>
      <c r="BD22" s="143"/>
      <c r="BF22" s="54" t="s">
        <v>74</v>
      </c>
      <c r="BG22" s="58" t="s">
        <v>62</v>
      </c>
      <c r="BH22" s="56">
        <v>2906718.2194082411</v>
      </c>
      <c r="BI22" s="57">
        <v>0</v>
      </c>
      <c r="BJ22" s="93">
        <f t="shared" si="25"/>
        <v>2906718.2194082411</v>
      </c>
      <c r="BK22" s="94"/>
      <c r="BM22" s="9" t="s">
        <v>74</v>
      </c>
      <c r="BN22" s="13" t="s">
        <v>62</v>
      </c>
      <c r="BO22" s="11">
        <v>408600</v>
      </c>
      <c r="BP22" s="12">
        <v>0</v>
      </c>
      <c r="BQ22" s="99">
        <f t="shared" si="32"/>
        <v>408600</v>
      </c>
      <c r="BR22" s="100"/>
      <c r="BT22" s="9" t="s">
        <v>74</v>
      </c>
      <c r="BU22" s="13" t="s">
        <v>62</v>
      </c>
      <c r="BV22" s="11">
        <v>2000000</v>
      </c>
      <c r="BW22" s="12">
        <v>0</v>
      </c>
      <c r="BX22" s="99">
        <f>BV22+BW22</f>
        <v>2000000</v>
      </c>
      <c r="BY22" s="100"/>
      <c r="CA22" s="54" t="s">
        <v>74</v>
      </c>
      <c r="CB22" s="58" t="s">
        <v>62</v>
      </c>
      <c r="CC22" s="56">
        <v>3000000</v>
      </c>
      <c r="CD22" s="57">
        <v>0</v>
      </c>
      <c r="CE22" s="93">
        <f t="shared" si="26"/>
        <v>3000000</v>
      </c>
      <c r="CF22" s="94"/>
      <c r="CH22" s="9" t="s">
        <v>74</v>
      </c>
      <c r="CI22" s="13" t="s">
        <v>62</v>
      </c>
      <c r="CJ22" s="11">
        <v>2000000</v>
      </c>
      <c r="CK22" s="12">
        <v>0</v>
      </c>
      <c r="CL22" s="99">
        <f t="shared" si="33"/>
        <v>2000000</v>
      </c>
      <c r="CM22" s="100"/>
      <c r="CO22" s="9" t="s">
        <v>74</v>
      </c>
      <c r="CP22" s="13" t="s">
        <v>62</v>
      </c>
      <c r="CQ22" s="11">
        <v>943888.88888888841</v>
      </c>
      <c r="CR22" s="12">
        <f>CQ22*0.19</f>
        <v>179338.88888888879</v>
      </c>
      <c r="CS22" s="99">
        <f t="shared" si="34"/>
        <v>1123227.7777777773</v>
      </c>
      <c r="CT22" s="100"/>
      <c r="CV22" s="73" t="s">
        <v>68</v>
      </c>
      <c r="CW22" s="74" t="s">
        <v>62</v>
      </c>
      <c r="CX22" s="72">
        <f>+MAX(F22,M22,T22,AA22,AH22,AV22,BC22,BJ22,BQ22,BX22,CE22,CL22,CS22)</f>
        <v>5760000</v>
      </c>
      <c r="CY22" s="72">
        <f>+MIN(F22,M22,T22,AA22,AH22,AV22,BC22,BJ22,BQ22,BX22,CE22,CL22,CS22)</f>
        <v>408600</v>
      </c>
      <c r="CZ22" s="72">
        <f>+AVERAGE(F22,M22,T22,AA22,AH22,AV22,BC22,BJ22,BQ22,BX22,CE22,CL22,CS22)</f>
        <v>2272003.4478478096</v>
      </c>
      <c r="DA22" s="72">
        <f>+TRIMMEAN((F22,M22,T22,AA22,AH22,AV22,BC22,BJ22,BQ22,BX22,CE22,CL22,CS22),(2/13))</f>
        <v>2124313.1656383206</v>
      </c>
      <c r="DB22" s="72">
        <f>+MEDIAN(F22,M22,T22,AA22,AH22,AV22,BC22,BJ22,BQ22,BX22,CE22,CL22,CS22)</f>
        <v>2000000</v>
      </c>
      <c r="DC22" s="86">
        <f>IFERROR(MODE(F22,M22,T22,AA22,AH22,AV22,BC22,BJ22,BQ22,BX22,CE22,CL22,CS22),"N/A")</f>
        <v>2000000</v>
      </c>
      <c r="DD22" s="88">
        <f>+STDEV(F22,M22,T22,AA22,AH22,AV22,BC22,BJ22,BQ22,BX22,CE22,CL22,CS22)/CZ22</f>
        <v>0.58602952660177032</v>
      </c>
      <c r="DE22" t="s">
        <v>176</v>
      </c>
      <c r="DF22" t="s">
        <v>192</v>
      </c>
    </row>
    <row r="23" spans="1:110" ht="19" thickBot="1" x14ac:dyDescent="0.25">
      <c r="A23" s="24" t="s">
        <v>63</v>
      </c>
      <c r="B23" s="9" t="s">
        <v>75</v>
      </c>
      <c r="C23" s="14" t="s">
        <v>65</v>
      </c>
      <c r="D23" s="11">
        <v>2128000</v>
      </c>
      <c r="E23" s="12">
        <f t="shared" si="27"/>
        <v>404320</v>
      </c>
      <c r="F23" s="99">
        <f t="shared" si="28"/>
        <v>2532320</v>
      </c>
      <c r="G23" s="100"/>
      <c r="I23" s="9" t="s">
        <v>75</v>
      </c>
      <c r="J23" s="14" t="s">
        <v>65</v>
      </c>
      <c r="K23" s="11">
        <v>2320000</v>
      </c>
      <c r="L23" s="12">
        <v>0</v>
      </c>
      <c r="M23" s="155">
        <f>+K23+L23</f>
        <v>2320000</v>
      </c>
      <c r="N23" s="156"/>
      <c r="P23" s="34" t="s">
        <v>75</v>
      </c>
      <c r="Q23" s="39" t="s">
        <v>65</v>
      </c>
      <c r="R23" s="36">
        <v>1835324</v>
      </c>
      <c r="S23" s="37">
        <v>0</v>
      </c>
      <c r="T23" s="142">
        <f t="shared" si="29"/>
        <v>1835324</v>
      </c>
      <c r="U23" s="143"/>
      <c r="W23" s="9" t="s">
        <v>75</v>
      </c>
      <c r="X23" s="14" t="s">
        <v>65</v>
      </c>
      <c r="Y23" s="11">
        <v>1018600000</v>
      </c>
      <c r="Z23" s="12">
        <v>0</v>
      </c>
      <c r="AA23" s="114">
        <f>+Y23/1501</f>
        <v>678614.25716189202</v>
      </c>
      <c r="AB23" s="115"/>
      <c r="AD23" s="9" t="s">
        <v>75</v>
      </c>
      <c r="AE23" s="14" t="s">
        <v>65</v>
      </c>
      <c r="AF23" s="11">
        <v>1947274.5797249107</v>
      </c>
      <c r="AG23" s="12">
        <v>0</v>
      </c>
      <c r="AH23" s="114">
        <f t="shared" si="30"/>
        <v>1947274.5797249107</v>
      </c>
      <c r="AI23" s="115"/>
      <c r="AK23" s="9" t="s">
        <v>75</v>
      </c>
      <c r="AL23" s="14" t="s">
        <v>65</v>
      </c>
      <c r="AM23" s="11">
        <v>0</v>
      </c>
      <c r="AN23" s="12">
        <v>0</v>
      </c>
      <c r="AO23" s="151">
        <f t="shared" si="35"/>
        <v>0</v>
      </c>
      <c r="AP23" s="152"/>
      <c r="AR23" s="54" t="s">
        <v>75</v>
      </c>
      <c r="AS23" s="59" t="s">
        <v>65</v>
      </c>
      <c r="AT23" s="56">
        <v>2748996</v>
      </c>
      <c r="AU23" s="57">
        <v>0</v>
      </c>
      <c r="AV23" s="93">
        <f t="shared" si="24"/>
        <v>2748996</v>
      </c>
      <c r="AW23" s="94"/>
      <c r="AY23" s="34" t="s">
        <v>75</v>
      </c>
      <c r="AZ23" s="39" t="s">
        <v>65</v>
      </c>
      <c r="BA23" s="36">
        <v>5700000</v>
      </c>
      <c r="BB23" s="37">
        <v>0</v>
      </c>
      <c r="BC23" s="142">
        <f t="shared" si="31"/>
        <v>5700000</v>
      </c>
      <c r="BD23" s="143"/>
      <c r="BF23" s="54" t="s">
        <v>75</v>
      </c>
      <c r="BG23" s="59" t="s">
        <v>65</v>
      </c>
      <c r="BH23" s="56">
        <v>2848634.1156335194</v>
      </c>
      <c r="BI23" s="57">
        <v>0</v>
      </c>
      <c r="BJ23" s="93">
        <f t="shared" si="25"/>
        <v>2848634.1156335194</v>
      </c>
      <c r="BK23" s="94"/>
      <c r="BM23" s="9" t="s">
        <v>75</v>
      </c>
      <c r="BN23" s="14" t="s">
        <v>65</v>
      </c>
      <c r="BO23" s="11">
        <v>0</v>
      </c>
      <c r="BP23" s="12">
        <v>0</v>
      </c>
      <c r="BQ23" s="135">
        <f t="shared" si="32"/>
        <v>0</v>
      </c>
      <c r="BR23" s="136"/>
      <c r="BT23" s="9" t="s">
        <v>75</v>
      </c>
      <c r="BU23" s="14" t="s">
        <v>65</v>
      </c>
      <c r="BV23" s="11">
        <v>1900000</v>
      </c>
      <c r="BW23" s="12">
        <v>0</v>
      </c>
      <c r="BX23" s="99">
        <f>BV23+BW23</f>
        <v>1900000</v>
      </c>
      <c r="BY23" s="100"/>
      <c r="CA23" s="54" t="s">
        <v>75</v>
      </c>
      <c r="CB23" s="59" t="s">
        <v>65</v>
      </c>
      <c r="CC23" s="56">
        <v>3000000</v>
      </c>
      <c r="CD23" s="57">
        <v>0</v>
      </c>
      <c r="CE23" s="93">
        <f t="shared" si="26"/>
        <v>3000000</v>
      </c>
      <c r="CF23" s="94"/>
      <c r="CH23" s="9" t="s">
        <v>75</v>
      </c>
      <c r="CI23" s="14" t="s">
        <v>65</v>
      </c>
      <c r="CJ23" s="11">
        <v>2000000</v>
      </c>
      <c r="CK23" s="12">
        <v>0</v>
      </c>
      <c r="CL23" s="99">
        <f t="shared" si="33"/>
        <v>2000000</v>
      </c>
      <c r="CM23" s="100"/>
      <c r="CO23" s="9" t="s">
        <v>75</v>
      </c>
      <c r="CP23" s="14" t="s">
        <v>65</v>
      </c>
      <c r="CQ23" s="11">
        <v>913888.88888888841</v>
      </c>
      <c r="CR23" s="12">
        <f>CQ23*0.19</f>
        <v>173638.88888888879</v>
      </c>
      <c r="CS23" s="99">
        <f t="shared" si="34"/>
        <v>1087527.7777777773</v>
      </c>
      <c r="CT23" s="100"/>
      <c r="CV23" s="73" t="s">
        <v>69</v>
      </c>
      <c r="CW23" s="75" t="s">
        <v>65</v>
      </c>
      <c r="CX23" s="72">
        <f>+MAX(F23,M23,T23,AA23,AH23,AV23,BC23,BJ23,BX23,CE23,CL23,CS23)</f>
        <v>5700000</v>
      </c>
      <c r="CY23" s="72">
        <f>+MIN(F23,M23,T23,AA23,AH23,AV23,BC23,BJ23,BX23,CE23,CL23,CS23)</f>
        <v>678614.25716189202</v>
      </c>
      <c r="CZ23" s="72">
        <f>+AVERAGE(F23,M23,T23,AA23,AH23,AV23,BC23,BJ23,BX23,CE23,CL23,CS23)</f>
        <v>2383224.2275248412</v>
      </c>
      <c r="DA23" s="72">
        <f>+TRIMMEAN((F23,M23,T23,AA23,AH23,AV23,BC23,BJ23,BX23,CE23,CL23,CS23),(2/12))</f>
        <v>2222007.6473136209</v>
      </c>
      <c r="DB23" s="72">
        <f>+MEDIAN(F23,M23,T23,AA23,AH23,AV23,BC23,BJ23,BX23,CE23,CL23,CS23)</f>
        <v>2160000</v>
      </c>
      <c r="DC23" s="86" t="str">
        <f>IFERROR(MODE(F23,M23,T23,AA23,AH23,AV23,BC23,BJ23,BX23,CE23,CL23,CS23),"N/A")</f>
        <v>N/A</v>
      </c>
      <c r="DD23" s="88">
        <f>+STDEV(F23,M23,T23,AA23,AH23,AV23,BC23,BJ23,BX23,CE23,CL23,CS23)/CZ23</f>
        <v>0.52489112346743427</v>
      </c>
      <c r="DE23" t="s">
        <v>176</v>
      </c>
      <c r="DF23" t="s">
        <v>192</v>
      </c>
    </row>
    <row r="24" spans="1:110" ht="91" thickBot="1" x14ac:dyDescent="0.25">
      <c r="A24" s="1" t="s">
        <v>70</v>
      </c>
      <c r="B24" s="103" t="s">
        <v>71</v>
      </c>
      <c r="C24" s="104"/>
      <c r="D24" s="104"/>
      <c r="E24" s="105"/>
      <c r="F24" s="18" t="s">
        <v>3</v>
      </c>
      <c r="G24" s="19" t="s">
        <v>20</v>
      </c>
      <c r="I24" s="15" t="s">
        <v>71</v>
      </c>
      <c r="J24" s="16"/>
      <c r="K24" s="16"/>
      <c r="L24" s="17"/>
      <c r="M24" s="18" t="s">
        <v>3</v>
      </c>
      <c r="N24" s="19" t="s">
        <v>20</v>
      </c>
      <c r="P24" s="144" t="s">
        <v>71</v>
      </c>
      <c r="Q24" s="145"/>
      <c r="R24" s="145"/>
      <c r="S24" s="146"/>
      <c r="T24" s="40" t="s">
        <v>3</v>
      </c>
      <c r="U24" s="41" t="s">
        <v>20</v>
      </c>
      <c r="W24" s="103" t="s">
        <v>71</v>
      </c>
      <c r="X24" s="104"/>
      <c r="Y24" s="104"/>
      <c r="Z24" s="105"/>
      <c r="AA24" s="18" t="s">
        <v>3</v>
      </c>
      <c r="AB24" s="19" t="s">
        <v>20</v>
      </c>
      <c r="AD24" s="103" t="s">
        <v>71</v>
      </c>
      <c r="AE24" s="104"/>
      <c r="AF24" s="104"/>
      <c r="AG24" s="105"/>
      <c r="AH24" s="18" t="s">
        <v>3</v>
      </c>
      <c r="AI24" s="19" t="s">
        <v>20</v>
      </c>
      <c r="AK24" s="103" t="s">
        <v>71</v>
      </c>
      <c r="AL24" s="104"/>
      <c r="AM24" s="104"/>
      <c r="AN24" s="105"/>
      <c r="AO24" s="18" t="s">
        <v>3</v>
      </c>
      <c r="AP24" s="19" t="s">
        <v>20</v>
      </c>
      <c r="AR24" s="95" t="s">
        <v>71</v>
      </c>
      <c r="AS24" s="96"/>
      <c r="AT24" s="96"/>
      <c r="AU24" s="97"/>
      <c r="AV24" s="60" t="s">
        <v>3</v>
      </c>
      <c r="AW24" s="61" t="s">
        <v>20</v>
      </c>
      <c r="AY24" s="144" t="s">
        <v>71</v>
      </c>
      <c r="AZ24" s="145"/>
      <c r="BA24" s="145"/>
      <c r="BB24" s="146"/>
      <c r="BC24" s="40" t="s">
        <v>3</v>
      </c>
      <c r="BD24" s="41" t="s">
        <v>20</v>
      </c>
      <c r="BF24" s="95" t="s">
        <v>71</v>
      </c>
      <c r="BG24" s="96"/>
      <c r="BH24" s="96"/>
      <c r="BI24" s="97"/>
      <c r="BJ24" s="60" t="s">
        <v>3</v>
      </c>
      <c r="BK24" s="61" t="s">
        <v>20</v>
      </c>
      <c r="BM24" s="103" t="s">
        <v>71</v>
      </c>
      <c r="BN24" s="104"/>
      <c r="BO24" s="104"/>
      <c r="BP24" s="105"/>
      <c r="BQ24" s="18" t="s">
        <v>3</v>
      </c>
      <c r="BR24" s="19" t="s">
        <v>20</v>
      </c>
      <c r="BT24" s="103" t="s">
        <v>71</v>
      </c>
      <c r="BU24" s="104"/>
      <c r="BV24" s="104"/>
      <c r="BW24" s="105"/>
      <c r="BX24" s="18" t="s">
        <v>3</v>
      </c>
      <c r="BY24" s="19" t="s">
        <v>20</v>
      </c>
      <c r="CA24" s="95" t="s">
        <v>71</v>
      </c>
      <c r="CB24" s="96"/>
      <c r="CC24" s="96"/>
      <c r="CD24" s="97"/>
      <c r="CE24" s="60" t="s">
        <v>3</v>
      </c>
      <c r="CF24" s="61" t="s">
        <v>20</v>
      </c>
      <c r="CH24" s="103" t="s">
        <v>71</v>
      </c>
      <c r="CI24" s="104"/>
      <c r="CJ24" s="104"/>
      <c r="CK24" s="105"/>
      <c r="CL24" s="18" t="s">
        <v>3</v>
      </c>
      <c r="CM24" s="19" t="s">
        <v>20</v>
      </c>
      <c r="CO24" s="103" t="s">
        <v>71</v>
      </c>
      <c r="CP24" s="104"/>
      <c r="CQ24" s="104"/>
      <c r="CR24" s="105"/>
      <c r="CS24" s="18" t="s">
        <v>3</v>
      </c>
      <c r="CT24" s="19" t="s">
        <v>20</v>
      </c>
    </row>
    <row r="25" spans="1:110" ht="46" customHeight="1" thickBot="1" x14ac:dyDescent="0.25">
      <c r="A25" s="3" t="s">
        <v>5</v>
      </c>
      <c r="B25" s="20" t="s">
        <v>6</v>
      </c>
      <c r="C25" s="20" t="s">
        <v>7</v>
      </c>
      <c r="D25" s="20" t="s">
        <v>8</v>
      </c>
      <c r="E25" s="21" t="s">
        <v>9</v>
      </c>
      <c r="F25" s="106" t="s">
        <v>21</v>
      </c>
      <c r="G25" s="107"/>
      <c r="I25" s="20" t="s">
        <v>6</v>
      </c>
      <c r="J25" s="20" t="s">
        <v>7</v>
      </c>
      <c r="K25" s="20" t="s">
        <v>8</v>
      </c>
      <c r="L25" s="21" t="s">
        <v>9</v>
      </c>
      <c r="M25" s="22" t="s">
        <v>21</v>
      </c>
      <c r="N25" s="23"/>
      <c r="P25" s="42" t="s">
        <v>6</v>
      </c>
      <c r="Q25" s="42" t="s">
        <v>7</v>
      </c>
      <c r="R25" s="42" t="s">
        <v>8</v>
      </c>
      <c r="S25" s="43" t="s">
        <v>9</v>
      </c>
      <c r="T25" s="147" t="s">
        <v>21</v>
      </c>
      <c r="U25" s="148"/>
      <c r="W25" s="20" t="s">
        <v>6</v>
      </c>
      <c r="X25" s="20" t="s">
        <v>7</v>
      </c>
      <c r="Y25" s="20" t="s">
        <v>8</v>
      </c>
      <c r="Z25" s="21" t="s">
        <v>9</v>
      </c>
      <c r="AA25" s="106" t="s">
        <v>21</v>
      </c>
      <c r="AB25" s="107"/>
      <c r="AD25" s="20" t="s">
        <v>6</v>
      </c>
      <c r="AE25" s="20" t="s">
        <v>7</v>
      </c>
      <c r="AF25" s="20" t="s">
        <v>8</v>
      </c>
      <c r="AG25" s="21" t="s">
        <v>9</v>
      </c>
      <c r="AH25" s="106" t="s">
        <v>21</v>
      </c>
      <c r="AI25" s="107"/>
      <c r="AK25" s="20" t="s">
        <v>6</v>
      </c>
      <c r="AL25" s="20" t="s">
        <v>7</v>
      </c>
      <c r="AM25" s="20" t="s">
        <v>8</v>
      </c>
      <c r="AN25" s="21" t="s">
        <v>9</v>
      </c>
      <c r="AO25" s="106" t="s">
        <v>21</v>
      </c>
      <c r="AP25" s="107"/>
      <c r="AR25" s="52" t="s">
        <v>6</v>
      </c>
      <c r="AS25" s="52" t="s">
        <v>7</v>
      </c>
      <c r="AT25" s="52" t="s">
        <v>8</v>
      </c>
      <c r="AU25" s="53" t="s">
        <v>9</v>
      </c>
      <c r="AV25" s="98" t="s">
        <v>21</v>
      </c>
      <c r="AW25" s="97"/>
      <c r="AY25" s="42" t="s">
        <v>6</v>
      </c>
      <c r="AZ25" s="42" t="s">
        <v>7</v>
      </c>
      <c r="BA25" s="42" t="s">
        <v>8</v>
      </c>
      <c r="BB25" s="43" t="s">
        <v>9</v>
      </c>
      <c r="BC25" s="147" t="s">
        <v>21</v>
      </c>
      <c r="BD25" s="148"/>
      <c r="BF25" s="52" t="s">
        <v>6</v>
      </c>
      <c r="BG25" s="52" t="s">
        <v>7</v>
      </c>
      <c r="BH25" s="52" t="s">
        <v>8</v>
      </c>
      <c r="BI25" s="53" t="s">
        <v>9</v>
      </c>
      <c r="BJ25" s="98" t="s">
        <v>21</v>
      </c>
      <c r="BK25" s="97"/>
      <c r="BM25" s="20" t="s">
        <v>6</v>
      </c>
      <c r="BN25" s="20" t="s">
        <v>7</v>
      </c>
      <c r="BO25" s="20" t="s">
        <v>8</v>
      </c>
      <c r="BP25" s="21" t="s">
        <v>9</v>
      </c>
      <c r="BQ25" s="106" t="s">
        <v>21</v>
      </c>
      <c r="BR25" s="107"/>
      <c r="BT25" s="20" t="s">
        <v>6</v>
      </c>
      <c r="BU25" s="20" t="s">
        <v>7</v>
      </c>
      <c r="BV25" s="20" t="s">
        <v>8</v>
      </c>
      <c r="BW25" s="21" t="s">
        <v>9</v>
      </c>
      <c r="BX25" s="106" t="s">
        <v>21</v>
      </c>
      <c r="BY25" s="107"/>
      <c r="CA25" s="52" t="s">
        <v>6</v>
      </c>
      <c r="CB25" s="52" t="s">
        <v>7</v>
      </c>
      <c r="CC25" s="52" t="s">
        <v>8</v>
      </c>
      <c r="CD25" s="53" t="s">
        <v>9</v>
      </c>
      <c r="CE25" s="98" t="s">
        <v>21</v>
      </c>
      <c r="CF25" s="97"/>
      <c r="CH25" s="20" t="s">
        <v>6</v>
      </c>
      <c r="CI25" s="20" t="s">
        <v>7</v>
      </c>
      <c r="CJ25" s="20" t="s">
        <v>8</v>
      </c>
      <c r="CK25" s="21" t="s">
        <v>9</v>
      </c>
      <c r="CL25" s="106" t="s">
        <v>21</v>
      </c>
      <c r="CM25" s="107"/>
      <c r="CO25" s="20" t="s">
        <v>6</v>
      </c>
      <c r="CP25" s="20" t="s">
        <v>7</v>
      </c>
      <c r="CQ25" s="20" t="s">
        <v>8</v>
      </c>
      <c r="CR25" s="21" t="s">
        <v>9</v>
      </c>
      <c r="CS25" s="106" t="s">
        <v>21</v>
      </c>
      <c r="CT25" s="107"/>
      <c r="CV25" s="68" t="s">
        <v>6</v>
      </c>
      <c r="CW25" s="68" t="s">
        <v>7</v>
      </c>
      <c r="CX25" s="69" t="s">
        <v>268</v>
      </c>
      <c r="CY25" s="69" t="s">
        <v>269</v>
      </c>
      <c r="CZ25" s="69" t="s">
        <v>270</v>
      </c>
      <c r="DA25" s="69" t="s">
        <v>273</v>
      </c>
      <c r="DB25" s="69" t="s">
        <v>271</v>
      </c>
      <c r="DC25" s="69" t="s">
        <v>272</v>
      </c>
      <c r="DE25" s="92" t="s">
        <v>291</v>
      </c>
      <c r="DF25" s="92" t="s">
        <v>292</v>
      </c>
    </row>
    <row r="26" spans="1:110" ht="19" thickBot="1" x14ac:dyDescent="0.25">
      <c r="A26" s="24" t="s">
        <v>54</v>
      </c>
      <c r="B26" s="9" t="s">
        <v>76</v>
      </c>
      <c r="C26" s="10" t="s">
        <v>56</v>
      </c>
      <c r="D26" s="11">
        <v>3859000</v>
      </c>
      <c r="E26" s="12">
        <f>(D26*19)/100</f>
        <v>733210</v>
      </c>
      <c r="F26" s="112">
        <f>D26+E26</f>
        <v>4592210</v>
      </c>
      <c r="G26" s="113"/>
      <c r="I26" s="9" t="s">
        <v>76</v>
      </c>
      <c r="J26" s="10" t="s">
        <v>56</v>
      </c>
      <c r="K26" s="11">
        <v>2750000</v>
      </c>
      <c r="L26" s="12">
        <v>0</v>
      </c>
      <c r="M26" s="155">
        <f>+K26+L26</f>
        <v>2750000</v>
      </c>
      <c r="N26" s="156"/>
      <c r="P26" s="34" t="s">
        <v>76</v>
      </c>
      <c r="Q26" s="35" t="s">
        <v>56</v>
      </c>
      <c r="R26" s="36">
        <v>1950000</v>
      </c>
      <c r="S26" s="37">
        <v>0</v>
      </c>
      <c r="T26" s="149">
        <f>R26+S26</f>
        <v>1950000</v>
      </c>
      <c r="U26" s="150"/>
      <c r="W26" s="9" t="s">
        <v>76</v>
      </c>
      <c r="X26" s="10" t="s">
        <v>56</v>
      </c>
      <c r="Y26" s="11">
        <v>561500000</v>
      </c>
      <c r="Z26" s="12">
        <v>0</v>
      </c>
      <c r="AA26" s="114">
        <f>+Y26/500</f>
        <v>1123000</v>
      </c>
      <c r="AB26" s="115"/>
      <c r="AD26" s="9" t="s">
        <v>76</v>
      </c>
      <c r="AE26" s="10" t="s">
        <v>56</v>
      </c>
      <c r="AF26" s="11">
        <v>2025165.5629139072</v>
      </c>
      <c r="AG26" s="12">
        <v>0</v>
      </c>
      <c r="AH26" s="155">
        <f>AF26+AG26</f>
        <v>2025165.5629139072</v>
      </c>
      <c r="AI26" s="156"/>
      <c r="AK26" s="9" t="s">
        <v>76</v>
      </c>
      <c r="AL26" s="10" t="s">
        <v>56</v>
      </c>
      <c r="AM26" s="11">
        <v>3483000</v>
      </c>
      <c r="AN26" s="12">
        <v>817000</v>
      </c>
      <c r="AO26" s="114">
        <f>AM26+AN26</f>
        <v>4300000</v>
      </c>
      <c r="AP26" s="115"/>
      <c r="AR26" s="54" t="s">
        <v>76</v>
      </c>
      <c r="AS26" s="55" t="s">
        <v>56</v>
      </c>
      <c r="AT26" s="56">
        <v>2919994</v>
      </c>
      <c r="AU26" s="57">
        <v>0</v>
      </c>
      <c r="AV26" s="131">
        <f t="shared" ref="AV26:AV29" si="36">AT26+AU26</f>
        <v>2919994</v>
      </c>
      <c r="AW26" s="132"/>
      <c r="AY26" s="34" t="s">
        <v>76</v>
      </c>
      <c r="AZ26" s="35" t="s">
        <v>56</v>
      </c>
      <c r="BA26" s="36">
        <v>7350000</v>
      </c>
      <c r="BB26" s="37">
        <v>0</v>
      </c>
      <c r="BC26" s="149">
        <f>BA26+BB26</f>
        <v>7350000</v>
      </c>
      <c r="BD26" s="150"/>
      <c r="BF26" s="54" t="s">
        <v>76</v>
      </c>
      <c r="BG26" s="55" t="s">
        <v>56</v>
      </c>
      <c r="BH26" s="56">
        <v>3025872.9385502664</v>
      </c>
      <c r="BI26" s="57">
        <v>0</v>
      </c>
      <c r="BJ26" s="131">
        <f t="shared" ref="BJ26:BJ29" si="37">BH26+BI26</f>
        <v>3025872.9385502664</v>
      </c>
      <c r="BK26" s="132"/>
      <c r="BM26" s="9" t="s">
        <v>76</v>
      </c>
      <c r="BN26" s="10" t="s">
        <v>56</v>
      </c>
      <c r="BO26" s="11">
        <v>448600</v>
      </c>
      <c r="BP26" s="12">
        <v>0</v>
      </c>
      <c r="BQ26" s="112">
        <f>BO26+BP26</f>
        <v>448600</v>
      </c>
      <c r="BR26" s="113"/>
      <c r="BT26" s="9" t="s">
        <v>76</v>
      </c>
      <c r="BU26" s="10" t="s">
        <v>56</v>
      </c>
      <c r="BV26" s="11">
        <v>2560000</v>
      </c>
      <c r="BW26" s="12">
        <v>0</v>
      </c>
      <c r="BX26" s="112">
        <f>BV26+BW26</f>
        <v>2560000</v>
      </c>
      <c r="BY26" s="113"/>
      <c r="CA26" s="54" t="s">
        <v>76</v>
      </c>
      <c r="CB26" s="55" t="s">
        <v>56</v>
      </c>
      <c r="CC26" s="56">
        <v>3000000</v>
      </c>
      <c r="CD26" s="57">
        <v>0</v>
      </c>
      <c r="CE26" s="131">
        <f t="shared" ref="CE26:CE29" si="38">CC26+CD26</f>
        <v>3000000</v>
      </c>
      <c r="CF26" s="132"/>
      <c r="CH26" s="9" t="s">
        <v>76</v>
      </c>
      <c r="CI26" s="10" t="s">
        <v>56</v>
      </c>
      <c r="CJ26" s="11">
        <v>2500000</v>
      </c>
      <c r="CK26" s="12">
        <v>0</v>
      </c>
      <c r="CL26" s="112">
        <f>CJ26+CK26</f>
        <v>2500000</v>
      </c>
      <c r="CM26" s="113"/>
      <c r="CO26" s="9" t="s">
        <v>76</v>
      </c>
      <c r="CP26" s="10" t="s">
        <v>56</v>
      </c>
      <c r="CQ26" s="11">
        <v>943888.88888888841</v>
      </c>
      <c r="CR26" s="12">
        <f>CQ26*0.19</f>
        <v>179338.88888888879</v>
      </c>
      <c r="CS26" s="112">
        <f>CQ26+CR26</f>
        <v>1123227.7777777773</v>
      </c>
      <c r="CT26" s="113"/>
      <c r="CV26" s="9" t="s">
        <v>76</v>
      </c>
      <c r="CW26" s="10" t="s">
        <v>56</v>
      </c>
      <c r="CX26" s="72">
        <f>+MAX(F26,M26,T26,AA26,AH26,AO26,AV26,BC26,BJ26,BQ26,BX26,CE26,CL26,CS26)</f>
        <v>7350000</v>
      </c>
      <c r="CY26" s="72">
        <f>+MIN(F26,M26,T26,AA26,AH26,AO26,AV26,BC26,BJ26,BQ26,BX26,CE26,CL26,CS26)</f>
        <v>448600</v>
      </c>
      <c r="CZ26" s="72">
        <f>+AVERAGE(F26,M26,T26,AA26,AH26,AO26,AV26,BC26,BJ26,BQ26,BX26,CE26,CL26,CS26)</f>
        <v>2833433.5913744248</v>
      </c>
      <c r="DA26" s="72">
        <f>+TRIMMEAN((F26,M26,T26,AA26,AH26,AO26,AV26,BC26,BJ26,BQ26,BX26,CE26,CL26,CS26),(2/14))</f>
        <v>2655789.1899368293</v>
      </c>
      <c r="DB26" s="72">
        <f>+MEDIAN(F26,M26,T26,AA26,AH26,AO26,AV26,BC26,BJ26,BQ26,BX26,CE26,CL26,CS26)</f>
        <v>2655000</v>
      </c>
      <c r="DC26" s="86" t="str">
        <f>IFERROR(MODE(F26,M26,T26,AA26,AH26,AO26,AV26,BC26,BJ26,BQ26,BX26,CE26,CL26,CS26),"N/A")</f>
        <v>N/A</v>
      </c>
      <c r="DD26" s="88">
        <f>+STDEV(F26,M26,T26,AA26,AH26,AO26,AV26,BC26,BJ26,BQ26,BX26,CE26,CL26,CS26)/CZ26</f>
        <v>0.61035104528249995</v>
      </c>
      <c r="DE26" t="s">
        <v>176</v>
      </c>
      <c r="DF26" t="s">
        <v>192</v>
      </c>
    </row>
    <row r="27" spans="1:110" ht="19" thickBot="1" x14ac:dyDescent="0.25">
      <c r="A27" s="24" t="s">
        <v>57</v>
      </c>
      <c r="B27" s="9" t="s">
        <v>77</v>
      </c>
      <c r="C27" s="13" t="s">
        <v>59</v>
      </c>
      <c r="D27" s="11">
        <v>2664000</v>
      </c>
      <c r="E27" s="12">
        <f t="shared" ref="E27:E29" si="39">(D27*19)/100</f>
        <v>506160</v>
      </c>
      <c r="F27" s="108">
        <f t="shared" ref="F27:F29" si="40">D27+E27</f>
        <v>3170160</v>
      </c>
      <c r="G27" s="109"/>
      <c r="I27" s="9" t="s">
        <v>77</v>
      </c>
      <c r="J27" s="13" t="s">
        <v>59</v>
      </c>
      <c r="K27" s="11">
        <v>2450000</v>
      </c>
      <c r="L27" s="12">
        <v>0</v>
      </c>
      <c r="M27" s="155">
        <f>+K27+L27</f>
        <v>2450000</v>
      </c>
      <c r="N27" s="156"/>
      <c r="P27" s="34" t="s">
        <v>77</v>
      </c>
      <c r="Q27" s="38" t="s">
        <v>59</v>
      </c>
      <c r="R27" s="36">
        <v>1911000</v>
      </c>
      <c r="S27" s="37">
        <v>0</v>
      </c>
      <c r="T27" s="138">
        <f t="shared" ref="T27:T29" si="41">R27+S27</f>
        <v>1911000</v>
      </c>
      <c r="U27" s="139"/>
      <c r="W27" s="9" t="s">
        <v>77</v>
      </c>
      <c r="X27" s="13" t="s">
        <v>59</v>
      </c>
      <c r="Y27" s="11">
        <v>981000000</v>
      </c>
      <c r="Z27" s="12">
        <v>0</v>
      </c>
      <c r="AA27" s="114">
        <f>+Y27/1000</f>
        <v>981000</v>
      </c>
      <c r="AB27" s="115"/>
      <c r="AD27" s="9" t="s">
        <v>77</v>
      </c>
      <c r="AE27" s="13" t="s">
        <v>59</v>
      </c>
      <c r="AF27" s="11">
        <v>2005114.4187266408</v>
      </c>
      <c r="AG27" s="12">
        <v>0</v>
      </c>
      <c r="AH27" s="157">
        <f t="shared" ref="AH27:AH29" si="42">AF27+AG27</f>
        <v>2005114.4187266408</v>
      </c>
      <c r="AI27" s="158"/>
      <c r="AK27" s="9" t="s">
        <v>77</v>
      </c>
      <c r="AL27" s="13" t="s">
        <v>59</v>
      </c>
      <c r="AM27" s="11">
        <v>0</v>
      </c>
      <c r="AN27" s="12">
        <v>0</v>
      </c>
      <c r="AO27" s="151">
        <f>+AM27+AN27</f>
        <v>0</v>
      </c>
      <c r="AP27" s="152"/>
      <c r="AR27" s="54" t="s">
        <v>77</v>
      </c>
      <c r="AS27" s="58" t="s">
        <v>59</v>
      </c>
      <c r="AT27" s="56">
        <v>2874446</v>
      </c>
      <c r="AU27" s="57">
        <v>0</v>
      </c>
      <c r="AV27" s="93">
        <f t="shared" si="36"/>
        <v>2874446</v>
      </c>
      <c r="AW27" s="94"/>
      <c r="AY27" s="34" t="s">
        <v>77</v>
      </c>
      <c r="AZ27" s="38" t="s">
        <v>59</v>
      </c>
      <c r="BA27" s="36">
        <v>5950000</v>
      </c>
      <c r="BB27" s="37">
        <v>0</v>
      </c>
      <c r="BC27" s="138">
        <f t="shared" ref="BC27:BC29" si="43">BA27+BB27</f>
        <v>5950000</v>
      </c>
      <c r="BD27" s="139"/>
      <c r="BF27" s="54" t="s">
        <v>77</v>
      </c>
      <c r="BG27" s="58" t="s">
        <v>59</v>
      </c>
      <c r="BH27" s="56">
        <v>2978638.5555460379</v>
      </c>
      <c r="BI27" s="57">
        <v>0</v>
      </c>
      <c r="BJ27" s="93">
        <f t="shared" si="37"/>
        <v>2978638.5555460379</v>
      </c>
      <c r="BK27" s="94"/>
      <c r="BM27" s="9" t="s">
        <v>77</v>
      </c>
      <c r="BN27" s="13" t="s">
        <v>59</v>
      </c>
      <c r="BO27" s="11">
        <v>425300</v>
      </c>
      <c r="BP27" s="12">
        <v>0</v>
      </c>
      <c r="BQ27" s="108">
        <f t="shared" ref="BQ27:BQ29" si="44">BO27+BP27</f>
        <v>425300</v>
      </c>
      <c r="BR27" s="109"/>
      <c r="BT27" s="9" t="s">
        <v>77</v>
      </c>
      <c r="BU27" s="13" t="s">
        <v>59</v>
      </c>
      <c r="BV27" s="11">
        <v>2110000</v>
      </c>
      <c r="BW27" s="12">
        <v>0</v>
      </c>
      <c r="BX27" s="108">
        <f>BV27+BW27</f>
        <v>2110000</v>
      </c>
      <c r="BY27" s="109"/>
      <c r="CA27" s="54" t="s">
        <v>77</v>
      </c>
      <c r="CB27" s="58" t="s">
        <v>59</v>
      </c>
      <c r="CC27" s="56">
        <v>3000000</v>
      </c>
      <c r="CD27" s="57">
        <v>0</v>
      </c>
      <c r="CE27" s="93">
        <f t="shared" si="38"/>
        <v>3000000</v>
      </c>
      <c r="CF27" s="94"/>
      <c r="CH27" s="9" t="s">
        <v>77</v>
      </c>
      <c r="CI27" s="13" t="s">
        <v>59</v>
      </c>
      <c r="CJ27" s="11">
        <v>2200000</v>
      </c>
      <c r="CK27" s="12">
        <v>0</v>
      </c>
      <c r="CL27" s="108">
        <f t="shared" ref="CL27:CL29" si="45">CJ27+CK27</f>
        <v>2200000</v>
      </c>
      <c r="CM27" s="109"/>
      <c r="CO27" s="9" t="s">
        <v>77</v>
      </c>
      <c r="CP27" s="13" t="s">
        <v>59</v>
      </c>
      <c r="CQ27" s="11">
        <v>943888.88888888841</v>
      </c>
      <c r="CR27" s="12">
        <f>CQ27*0.19</f>
        <v>179338.88888888879</v>
      </c>
      <c r="CS27" s="108">
        <f t="shared" ref="CS27:CS29" si="46">CQ27+CR27</f>
        <v>1123227.7777777773</v>
      </c>
      <c r="CT27" s="109"/>
      <c r="CV27" s="9" t="s">
        <v>77</v>
      </c>
      <c r="CW27" s="13" t="s">
        <v>59</v>
      </c>
      <c r="CX27" s="72">
        <f>+MAX(F27,M27,T27,AA27,AH27,AV27,BC27,BJ27,BQ27,BX27,CE27,CL27,CS27)</f>
        <v>5950000</v>
      </c>
      <c r="CY27" s="72">
        <f>+MIN(F27,M27,T27,AA27,AH27,AV27,BC27,BJ27,BQ27,BX27,CE27,CL27,CS27)</f>
        <v>425300</v>
      </c>
      <c r="CZ27" s="72">
        <f>+AVERAGE(F27,M27,T27,AA27,AH27,AV27,BC27,BJ27,BQ27,BX27,CE27,CL27,CS27)</f>
        <v>2398375.9040038814</v>
      </c>
      <c r="DA27" s="72">
        <f>+TRIMMEAN((F27,M27,T27,AA27,AH27,AV27,BC27,BJ27,BQ27,BX27,CE27,CL27,CS27),(2/13))</f>
        <v>2254871.5229136776</v>
      </c>
      <c r="DB27" s="72">
        <f>+MEDIAN(F27,M27,T27,AA27,AH27,AV27,BC27,BJ27,BQ27,BX27,CE27,CL27,CS27)</f>
        <v>2200000</v>
      </c>
      <c r="DC27" s="86" t="str">
        <f>IFERROR(MODE(F27,M27,T27,AA27,AH27,AV27,BC27,BJ27,BQ27,BX27,CE27,CL27,CS27),"N/A")</f>
        <v>N/A</v>
      </c>
      <c r="DD27" s="88">
        <f>+STDEV(F27,M27,T27,AA27,AH27,AV27,BC27,BJ27,BQ27,BX27,CE27,CL27,CS27)/CZ27</f>
        <v>0.56686050866324611</v>
      </c>
      <c r="DE27" t="s">
        <v>176</v>
      </c>
      <c r="DF27" t="s">
        <v>192</v>
      </c>
    </row>
    <row r="28" spans="1:110" ht="19" thickBot="1" x14ac:dyDescent="0.25">
      <c r="A28" s="24" t="s">
        <v>60</v>
      </c>
      <c r="B28" s="9" t="s">
        <v>78</v>
      </c>
      <c r="C28" s="13" t="s">
        <v>62</v>
      </c>
      <c r="D28" s="11">
        <v>2239000</v>
      </c>
      <c r="E28" s="12">
        <f t="shared" si="39"/>
        <v>425410</v>
      </c>
      <c r="F28" s="108">
        <f t="shared" si="40"/>
        <v>2664410</v>
      </c>
      <c r="G28" s="109"/>
      <c r="I28" s="9" t="s">
        <v>78</v>
      </c>
      <c r="J28" s="13" t="s">
        <v>62</v>
      </c>
      <c r="K28" s="11">
        <v>2350000</v>
      </c>
      <c r="L28" s="12">
        <v>0</v>
      </c>
      <c r="M28" s="155">
        <f>+K28+L28</f>
        <v>2350000</v>
      </c>
      <c r="N28" s="156"/>
      <c r="P28" s="34" t="s">
        <v>78</v>
      </c>
      <c r="Q28" s="38" t="s">
        <v>62</v>
      </c>
      <c r="R28" s="36">
        <v>1872780</v>
      </c>
      <c r="S28" s="37">
        <v>0</v>
      </c>
      <c r="T28" s="138">
        <f t="shared" si="41"/>
        <v>1872780</v>
      </c>
      <c r="U28" s="139"/>
      <c r="W28" s="9" t="s">
        <v>78</v>
      </c>
      <c r="X28" s="13" t="s">
        <v>62</v>
      </c>
      <c r="Y28" s="11">
        <v>1018600000</v>
      </c>
      <c r="Z28" s="12">
        <v>0</v>
      </c>
      <c r="AA28" s="114">
        <f>+Y28/1500</f>
        <v>679066.66666666663</v>
      </c>
      <c r="AB28" s="115"/>
      <c r="AD28" s="9" t="s">
        <v>78</v>
      </c>
      <c r="AE28" s="13" t="s">
        <v>62</v>
      </c>
      <c r="AF28" s="11">
        <v>1985456.4342293208</v>
      </c>
      <c r="AG28" s="12">
        <v>0</v>
      </c>
      <c r="AH28" s="157">
        <f t="shared" si="42"/>
        <v>1985456.4342293208</v>
      </c>
      <c r="AI28" s="158"/>
      <c r="AK28" s="9" t="s">
        <v>78</v>
      </c>
      <c r="AL28" s="13" t="s">
        <v>62</v>
      </c>
      <c r="AM28" s="11">
        <v>0</v>
      </c>
      <c r="AN28" s="12">
        <v>0</v>
      </c>
      <c r="AO28" s="151">
        <f t="shared" ref="AO28:AO29" si="47">AM28+AN28</f>
        <v>0</v>
      </c>
      <c r="AP28" s="152"/>
      <c r="AR28" s="54" t="s">
        <v>78</v>
      </c>
      <c r="AS28" s="58" t="s">
        <v>62</v>
      </c>
      <c r="AT28" s="56">
        <v>2828705</v>
      </c>
      <c r="AU28" s="57">
        <v>0</v>
      </c>
      <c r="AV28" s="93">
        <f t="shared" si="36"/>
        <v>2828705</v>
      </c>
      <c r="AW28" s="94"/>
      <c r="AY28" s="34" t="s">
        <v>78</v>
      </c>
      <c r="AZ28" s="38" t="s">
        <v>62</v>
      </c>
      <c r="BA28" s="36">
        <v>5760000</v>
      </c>
      <c r="BB28" s="37">
        <v>0</v>
      </c>
      <c r="BC28" s="138">
        <f t="shared" si="43"/>
        <v>5760000</v>
      </c>
      <c r="BD28" s="139"/>
      <c r="BF28" s="54" t="s">
        <v>78</v>
      </c>
      <c r="BG28" s="58" t="s">
        <v>62</v>
      </c>
      <c r="BH28" s="56">
        <v>2931242.8877078411</v>
      </c>
      <c r="BI28" s="57">
        <v>0</v>
      </c>
      <c r="BJ28" s="93">
        <f t="shared" si="37"/>
        <v>2931242.8877078411</v>
      </c>
      <c r="BK28" s="94"/>
      <c r="BM28" s="9" t="s">
        <v>78</v>
      </c>
      <c r="BN28" s="13" t="s">
        <v>62</v>
      </c>
      <c r="BO28" s="11">
        <v>408600</v>
      </c>
      <c r="BP28" s="12">
        <v>0</v>
      </c>
      <c r="BQ28" s="108">
        <f t="shared" si="44"/>
        <v>408600</v>
      </c>
      <c r="BR28" s="109"/>
      <c r="BT28" s="9" t="s">
        <v>78</v>
      </c>
      <c r="BU28" s="13" t="s">
        <v>62</v>
      </c>
      <c r="BV28" s="11">
        <v>2000000</v>
      </c>
      <c r="BW28" s="12">
        <v>0</v>
      </c>
      <c r="BX28" s="108">
        <f>BV28+BW28</f>
        <v>2000000</v>
      </c>
      <c r="BY28" s="109"/>
      <c r="CA28" s="54" t="s">
        <v>78</v>
      </c>
      <c r="CB28" s="58" t="s">
        <v>62</v>
      </c>
      <c r="CC28" s="56">
        <v>3000000</v>
      </c>
      <c r="CD28" s="57">
        <v>0</v>
      </c>
      <c r="CE28" s="93">
        <f t="shared" si="38"/>
        <v>3000000</v>
      </c>
      <c r="CF28" s="94"/>
      <c r="CH28" s="9" t="s">
        <v>78</v>
      </c>
      <c r="CI28" s="13" t="s">
        <v>62</v>
      </c>
      <c r="CJ28" s="11">
        <v>2000000</v>
      </c>
      <c r="CK28" s="12">
        <v>0</v>
      </c>
      <c r="CL28" s="108">
        <f t="shared" si="45"/>
        <v>2000000</v>
      </c>
      <c r="CM28" s="109"/>
      <c r="CO28" s="9" t="s">
        <v>78</v>
      </c>
      <c r="CP28" s="13" t="s">
        <v>62</v>
      </c>
      <c r="CQ28" s="11">
        <v>943888.88888888841</v>
      </c>
      <c r="CR28" s="12">
        <f>CQ28*0.19</f>
        <v>179338.88888888879</v>
      </c>
      <c r="CS28" s="108">
        <f t="shared" si="46"/>
        <v>1123227.7777777773</v>
      </c>
      <c r="CT28" s="109"/>
      <c r="CV28" s="9" t="s">
        <v>78</v>
      </c>
      <c r="CW28" s="13" t="s">
        <v>62</v>
      </c>
      <c r="CX28" s="72">
        <f>+MAX(F28,M28,T28,AA28,AH28,AV28,BC28,BJ28,BQ28,BX28,CE28,CL28,CS28)</f>
        <v>5760000</v>
      </c>
      <c r="CY28" s="72">
        <f>+MIN(F28,M28,T28,AA28,AH28,AV28,BC28,BJ28,BQ28,BX28,CE28,CL28,CS28)</f>
        <v>408600</v>
      </c>
      <c r="CZ28" s="72">
        <f>+AVERAGE(F28,M28,T28,AA28,AH28,AV28,BC28,BJ28,BQ28,BX28,CE28,CL28,CS28)</f>
        <v>2277191.4435678157</v>
      </c>
      <c r="DA28" s="72">
        <f>+TRIMMEAN((F28,M28,T28,AA28,AH28,AV28,BC28,BJ28,BQ28,BX28,CE28,CL28,CS28),(2/13))</f>
        <v>2130444.4333074186</v>
      </c>
      <c r="DB28" s="72">
        <f>+MEDIAN(F28,M28,T28,AA28,AH28,AV28,BC28,BJ28,BQ28,BX28,CE28,CL28,CS28)</f>
        <v>2000000</v>
      </c>
      <c r="DC28" s="86">
        <f>IFERROR(MODE(F28,M28,T28,AA28,AH28,AV28,BC28,BJ28,BQ28,BX28,CE28,CL28,CS28),"N/A")</f>
        <v>2000000</v>
      </c>
      <c r="DD28" s="88">
        <f>+STDEV(F28,M28,T28,AA28,AH28,AV28,BC28,BJ28,BQ28,BX28,CE28,CL28,CS28)/CZ28</f>
        <v>0.58532251431431837</v>
      </c>
      <c r="DE28" t="s">
        <v>176</v>
      </c>
      <c r="DF28" t="s">
        <v>192</v>
      </c>
    </row>
    <row r="29" spans="1:110" ht="19" thickBot="1" x14ac:dyDescent="0.25">
      <c r="A29" s="24" t="s">
        <v>63</v>
      </c>
      <c r="B29" s="9" t="s">
        <v>79</v>
      </c>
      <c r="C29" s="14" t="s">
        <v>65</v>
      </c>
      <c r="D29" s="11">
        <v>2128000</v>
      </c>
      <c r="E29" s="12">
        <f t="shared" si="39"/>
        <v>404320</v>
      </c>
      <c r="F29" s="110">
        <f t="shared" si="40"/>
        <v>2532320</v>
      </c>
      <c r="G29" s="111"/>
      <c r="I29" s="9" t="s">
        <v>79</v>
      </c>
      <c r="J29" s="14" t="s">
        <v>65</v>
      </c>
      <c r="K29" s="11">
        <v>2320000</v>
      </c>
      <c r="L29" s="12">
        <v>0</v>
      </c>
      <c r="M29" s="155">
        <f>+K29+L29</f>
        <v>2320000</v>
      </c>
      <c r="N29" s="156"/>
      <c r="P29" s="34" t="s">
        <v>79</v>
      </c>
      <c r="Q29" s="39" t="s">
        <v>65</v>
      </c>
      <c r="R29" s="36">
        <v>1835324</v>
      </c>
      <c r="S29" s="37">
        <v>0</v>
      </c>
      <c r="T29" s="140">
        <f t="shared" si="41"/>
        <v>1835324</v>
      </c>
      <c r="U29" s="141"/>
      <c r="W29" s="9" t="s">
        <v>79</v>
      </c>
      <c r="X29" s="14" t="s">
        <v>65</v>
      </c>
      <c r="Y29" s="11">
        <v>1018600000</v>
      </c>
      <c r="Z29" s="12">
        <v>0</v>
      </c>
      <c r="AA29" s="114">
        <f>+Y29/1501</f>
        <v>678614.25716189202</v>
      </c>
      <c r="AB29" s="115"/>
      <c r="AD29" s="9" t="s">
        <v>79</v>
      </c>
      <c r="AE29" s="14" t="s">
        <v>65</v>
      </c>
      <c r="AF29" s="11">
        <v>1966180.1581688419</v>
      </c>
      <c r="AG29" s="12">
        <v>0</v>
      </c>
      <c r="AH29" s="153">
        <f t="shared" si="42"/>
        <v>1966180.1581688419</v>
      </c>
      <c r="AI29" s="154"/>
      <c r="AK29" s="9" t="s">
        <v>79</v>
      </c>
      <c r="AL29" s="14" t="s">
        <v>65</v>
      </c>
      <c r="AM29" s="11">
        <v>0</v>
      </c>
      <c r="AN29" s="12">
        <v>0</v>
      </c>
      <c r="AO29" s="151">
        <f t="shared" si="47"/>
        <v>0</v>
      </c>
      <c r="AP29" s="152"/>
      <c r="AR29" s="54" t="s">
        <v>79</v>
      </c>
      <c r="AS29" s="59" t="s">
        <v>65</v>
      </c>
      <c r="AT29" s="56">
        <v>2772638</v>
      </c>
      <c r="AU29" s="57">
        <v>0</v>
      </c>
      <c r="AV29" s="133">
        <f t="shared" si="36"/>
        <v>2772638</v>
      </c>
      <c r="AW29" s="134"/>
      <c r="AY29" s="34" t="s">
        <v>79</v>
      </c>
      <c r="AZ29" s="39" t="s">
        <v>65</v>
      </c>
      <c r="BA29" s="36">
        <v>5700000</v>
      </c>
      <c r="BB29" s="37">
        <v>0</v>
      </c>
      <c r="BC29" s="140">
        <f t="shared" si="43"/>
        <v>5700000</v>
      </c>
      <c r="BD29" s="141"/>
      <c r="BF29" s="54" t="s">
        <v>79</v>
      </c>
      <c r="BG29" s="59" t="s">
        <v>65</v>
      </c>
      <c r="BH29" s="56">
        <v>2873158.6588203181</v>
      </c>
      <c r="BI29" s="57">
        <v>0</v>
      </c>
      <c r="BJ29" s="133">
        <f t="shared" si="37"/>
        <v>2873158.6588203181</v>
      </c>
      <c r="BK29" s="134"/>
      <c r="BM29" s="9" t="s">
        <v>79</v>
      </c>
      <c r="BN29" s="14" t="s">
        <v>65</v>
      </c>
      <c r="BO29" s="11">
        <v>0</v>
      </c>
      <c r="BP29" s="12">
        <v>0</v>
      </c>
      <c r="BQ29" s="135">
        <f t="shared" si="44"/>
        <v>0</v>
      </c>
      <c r="BR29" s="136"/>
      <c r="BT29" s="9" t="s">
        <v>79</v>
      </c>
      <c r="BU29" s="14" t="s">
        <v>65</v>
      </c>
      <c r="BV29" s="11">
        <v>1900000</v>
      </c>
      <c r="BW29" s="12">
        <v>0</v>
      </c>
      <c r="BX29" s="110">
        <f>BV29+BW29</f>
        <v>1900000</v>
      </c>
      <c r="BY29" s="111"/>
      <c r="CA29" s="54" t="s">
        <v>79</v>
      </c>
      <c r="CB29" s="59" t="s">
        <v>65</v>
      </c>
      <c r="CC29" s="56">
        <v>3000000</v>
      </c>
      <c r="CD29" s="57">
        <v>0</v>
      </c>
      <c r="CE29" s="133">
        <f t="shared" si="38"/>
        <v>3000000</v>
      </c>
      <c r="CF29" s="134"/>
      <c r="CH29" s="9" t="s">
        <v>79</v>
      </c>
      <c r="CI29" s="14" t="s">
        <v>65</v>
      </c>
      <c r="CJ29" s="11">
        <v>2000000</v>
      </c>
      <c r="CK29" s="12">
        <v>0</v>
      </c>
      <c r="CL29" s="110">
        <f t="shared" si="45"/>
        <v>2000000</v>
      </c>
      <c r="CM29" s="111"/>
      <c r="CO29" s="9" t="s">
        <v>79</v>
      </c>
      <c r="CP29" s="14" t="s">
        <v>65</v>
      </c>
      <c r="CQ29" s="11">
        <v>913888.88888888841</v>
      </c>
      <c r="CR29" s="12">
        <f>CQ29*0.19</f>
        <v>173638.88888888879</v>
      </c>
      <c r="CS29" s="110">
        <f t="shared" si="46"/>
        <v>1087527.7777777773</v>
      </c>
      <c r="CT29" s="111"/>
      <c r="CV29" s="9" t="s">
        <v>79</v>
      </c>
      <c r="CW29" s="14" t="s">
        <v>65</v>
      </c>
      <c r="CX29" s="72">
        <f>+MAX(F29,M29,T29,AA29,AH29,AV29,BC29,BJ29,BX29,CE29,CL29,CS29)</f>
        <v>5700000</v>
      </c>
      <c r="CY29" s="72">
        <f>+MIN(F29,M29,T29,AA29,AH29,AV29,BC29,BJ29,BX29,CE29,CL29,CS29)</f>
        <v>678614.25716189202</v>
      </c>
      <c r="CZ29" s="72">
        <f>+AVERAGE(F29,M29,T29,AA29,AH29,AV29,BC29,BJ29,BX29,CE29,CL29,CS29)</f>
        <v>2388813.5709940693</v>
      </c>
      <c r="DA29" s="72">
        <f>+TRIMMEAN((F29,M29,T29,AA29,AH29,AV29,BC29,BJ29,BX29,CE29,CL29,CS29),(2/12))</f>
        <v>2228714.8594766939</v>
      </c>
      <c r="DB29" s="72">
        <f>+MEDIAN(F29,M29,T29,AA29,AH29,AV29,BC29,BJ29,BX29,CE29,CL29,CS29)</f>
        <v>2160000</v>
      </c>
      <c r="DC29" s="86" t="str">
        <f>IFERROR(MODE(F29,M29,T29,AA29,AH29,AV29,BC29,BJ29,BX29,CE29,CL29,CS29),"N/A")</f>
        <v>N/A</v>
      </c>
      <c r="DD29" s="88">
        <f>+STDEV(F29,M29,T29,AA29,AH29,AV29,BC29,BJ29,BX29,CE29,CL29,CS29)/CZ29</f>
        <v>0.52403981375013298</v>
      </c>
      <c r="DE29" t="s">
        <v>176</v>
      </c>
      <c r="DF29" t="s">
        <v>192</v>
      </c>
    </row>
    <row r="30" spans="1:110" ht="76" thickBot="1" x14ac:dyDescent="0.25">
      <c r="A30" s="1" t="s">
        <v>80</v>
      </c>
      <c r="B30" s="103" t="s">
        <v>81</v>
      </c>
      <c r="C30" s="104"/>
      <c r="D30" s="104"/>
      <c r="E30" s="105"/>
      <c r="F30" s="18" t="s">
        <v>3</v>
      </c>
      <c r="G30" s="19" t="s">
        <v>27</v>
      </c>
      <c r="I30" s="15" t="s">
        <v>81</v>
      </c>
      <c r="J30" s="16"/>
      <c r="K30" s="16"/>
      <c r="L30" s="17"/>
      <c r="M30" s="18" t="s">
        <v>3</v>
      </c>
      <c r="N30" s="19" t="s">
        <v>27</v>
      </c>
      <c r="P30" s="144" t="s">
        <v>81</v>
      </c>
      <c r="Q30" s="145"/>
      <c r="R30" s="145"/>
      <c r="S30" s="146"/>
      <c r="T30" s="40" t="s">
        <v>3</v>
      </c>
      <c r="U30" s="41" t="s">
        <v>27</v>
      </c>
      <c r="W30" s="103" t="s">
        <v>81</v>
      </c>
      <c r="X30" s="104"/>
      <c r="Y30" s="104"/>
      <c r="Z30" s="105"/>
      <c r="AA30" s="18" t="s">
        <v>3</v>
      </c>
      <c r="AB30" s="19" t="s">
        <v>27</v>
      </c>
      <c r="AD30" s="103" t="s">
        <v>81</v>
      </c>
      <c r="AE30" s="104"/>
      <c r="AF30" s="104"/>
      <c r="AG30" s="105"/>
      <c r="AH30" s="18" t="s">
        <v>3</v>
      </c>
      <c r="AI30" s="19" t="s">
        <v>27</v>
      </c>
      <c r="AK30" s="103" t="s">
        <v>81</v>
      </c>
      <c r="AL30" s="104"/>
      <c r="AM30" s="104"/>
      <c r="AN30" s="105"/>
      <c r="AO30" s="18" t="s">
        <v>3</v>
      </c>
      <c r="AP30" s="19" t="s">
        <v>27</v>
      </c>
      <c r="AR30" s="95" t="s">
        <v>81</v>
      </c>
      <c r="AS30" s="96"/>
      <c r="AT30" s="96"/>
      <c r="AU30" s="97"/>
      <c r="AV30" s="60" t="s">
        <v>3</v>
      </c>
      <c r="AW30" s="61" t="s">
        <v>27</v>
      </c>
      <c r="AY30" s="144" t="s">
        <v>81</v>
      </c>
      <c r="AZ30" s="145"/>
      <c r="BA30" s="145"/>
      <c r="BB30" s="146"/>
      <c r="BC30" s="40" t="s">
        <v>3</v>
      </c>
      <c r="BD30" s="41" t="s">
        <v>27</v>
      </c>
      <c r="BF30" s="95" t="s">
        <v>81</v>
      </c>
      <c r="BG30" s="96"/>
      <c r="BH30" s="96"/>
      <c r="BI30" s="97"/>
      <c r="BJ30" s="60" t="s">
        <v>3</v>
      </c>
      <c r="BK30" s="61" t="s">
        <v>27</v>
      </c>
      <c r="BM30" s="103" t="s">
        <v>81</v>
      </c>
      <c r="BN30" s="104"/>
      <c r="BO30" s="104"/>
      <c r="BP30" s="105"/>
      <c r="BQ30" s="18" t="s">
        <v>3</v>
      </c>
      <c r="BR30" s="19" t="s">
        <v>27</v>
      </c>
      <c r="BT30" s="103" t="s">
        <v>81</v>
      </c>
      <c r="BU30" s="104"/>
      <c r="BV30" s="104"/>
      <c r="BW30" s="105"/>
      <c r="BX30" s="18" t="s">
        <v>3</v>
      </c>
      <c r="BY30" s="19" t="s">
        <v>27</v>
      </c>
      <c r="CA30" s="95" t="s">
        <v>81</v>
      </c>
      <c r="CB30" s="96"/>
      <c r="CC30" s="96"/>
      <c r="CD30" s="97"/>
      <c r="CE30" s="60" t="s">
        <v>3</v>
      </c>
      <c r="CF30" s="61" t="s">
        <v>27</v>
      </c>
      <c r="CH30" s="103" t="s">
        <v>81</v>
      </c>
      <c r="CI30" s="104"/>
      <c r="CJ30" s="104"/>
      <c r="CK30" s="105"/>
      <c r="CL30" s="18" t="s">
        <v>3</v>
      </c>
      <c r="CM30" s="19" t="s">
        <v>27</v>
      </c>
      <c r="CO30" s="103" t="s">
        <v>81</v>
      </c>
      <c r="CP30" s="104"/>
      <c r="CQ30" s="104"/>
      <c r="CR30" s="105"/>
      <c r="CS30" s="18" t="s">
        <v>3</v>
      </c>
      <c r="CT30" s="19" t="s">
        <v>27</v>
      </c>
    </row>
    <row r="31" spans="1:110" ht="46" customHeight="1" thickBot="1" x14ac:dyDescent="0.25">
      <c r="A31" s="3" t="s">
        <v>5</v>
      </c>
      <c r="B31" s="20" t="s">
        <v>6</v>
      </c>
      <c r="C31" s="20" t="s">
        <v>7</v>
      </c>
      <c r="D31" s="20" t="s">
        <v>8</v>
      </c>
      <c r="E31" s="21" t="s">
        <v>9</v>
      </c>
      <c r="F31" s="106" t="s">
        <v>21</v>
      </c>
      <c r="G31" s="107"/>
      <c r="I31" s="20" t="s">
        <v>6</v>
      </c>
      <c r="J31" s="20" t="s">
        <v>7</v>
      </c>
      <c r="K31" s="20" t="s">
        <v>8</v>
      </c>
      <c r="L31" s="21" t="s">
        <v>9</v>
      </c>
      <c r="M31" s="22" t="s">
        <v>21</v>
      </c>
      <c r="N31" s="23"/>
      <c r="P31" s="42" t="s">
        <v>6</v>
      </c>
      <c r="Q31" s="42" t="s">
        <v>7</v>
      </c>
      <c r="R31" s="42" t="s">
        <v>8</v>
      </c>
      <c r="S31" s="43" t="s">
        <v>9</v>
      </c>
      <c r="T31" s="147" t="s">
        <v>21</v>
      </c>
      <c r="U31" s="148"/>
      <c r="W31" s="20" t="s">
        <v>6</v>
      </c>
      <c r="X31" s="20" t="s">
        <v>7</v>
      </c>
      <c r="Y31" s="20" t="s">
        <v>8</v>
      </c>
      <c r="Z31" s="21" t="s">
        <v>9</v>
      </c>
      <c r="AA31" s="106" t="s">
        <v>21</v>
      </c>
      <c r="AB31" s="107"/>
      <c r="AD31" s="20" t="s">
        <v>6</v>
      </c>
      <c r="AE31" s="20" t="s">
        <v>7</v>
      </c>
      <c r="AF31" s="20" t="s">
        <v>8</v>
      </c>
      <c r="AG31" s="21" t="s">
        <v>9</v>
      </c>
      <c r="AH31" s="106" t="s">
        <v>21</v>
      </c>
      <c r="AI31" s="107"/>
      <c r="AK31" s="20" t="s">
        <v>6</v>
      </c>
      <c r="AL31" s="20" t="s">
        <v>7</v>
      </c>
      <c r="AM31" s="20" t="s">
        <v>8</v>
      </c>
      <c r="AN31" s="21" t="s">
        <v>9</v>
      </c>
      <c r="AO31" s="106" t="s">
        <v>21</v>
      </c>
      <c r="AP31" s="107"/>
      <c r="AR31" s="52" t="s">
        <v>6</v>
      </c>
      <c r="AS31" s="52" t="s">
        <v>7</v>
      </c>
      <c r="AT31" s="52" t="s">
        <v>8</v>
      </c>
      <c r="AU31" s="53" t="s">
        <v>9</v>
      </c>
      <c r="AV31" s="98" t="s">
        <v>21</v>
      </c>
      <c r="AW31" s="97"/>
      <c r="AY31" s="42" t="s">
        <v>6</v>
      </c>
      <c r="AZ31" s="42" t="s">
        <v>7</v>
      </c>
      <c r="BA31" s="42" t="s">
        <v>8</v>
      </c>
      <c r="BB31" s="43" t="s">
        <v>9</v>
      </c>
      <c r="BC31" s="147" t="s">
        <v>21</v>
      </c>
      <c r="BD31" s="148"/>
      <c r="BF31" s="52" t="s">
        <v>6</v>
      </c>
      <c r="BG31" s="52" t="s">
        <v>7</v>
      </c>
      <c r="BH31" s="52" t="s">
        <v>8</v>
      </c>
      <c r="BI31" s="53" t="s">
        <v>9</v>
      </c>
      <c r="BJ31" s="98" t="s">
        <v>21</v>
      </c>
      <c r="BK31" s="97"/>
      <c r="BM31" s="20" t="s">
        <v>6</v>
      </c>
      <c r="BN31" s="20" t="s">
        <v>7</v>
      </c>
      <c r="BO31" s="20" t="s">
        <v>8</v>
      </c>
      <c r="BP31" s="21" t="s">
        <v>9</v>
      </c>
      <c r="BQ31" s="106" t="s">
        <v>21</v>
      </c>
      <c r="BR31" s="107"/>
      <c r="BT31" s="20" t="s">
        <v>6</v>
      </c>
      <c r="BU31" s="20" t="s">
        <v>7</v>
      </c>
      <c r="BV31" s="20" t="s">
        <v>8</v>
      </c>
      <c r="BW31" s="21" t="s">
        <v>9</v>
      </c>
      <c r="BX31" s="106" t="s">
        <v>21</v>
      </c>
      <c r="BY31" s="107"/>
      <c r="CA31" s="52" t="s">
        <v>6</v>
      </c>
      <c r="CB31" s="52" t="s">
        <v>7</v>
      </c>
      <c r="CC31" s="52" t="s">
        <v>8</v>
      </c>
      <c r="CD31" s="53" t="s">
        <v>9</v>
      </c>
      <c r="CE31" s="98" t="s">
        <v>21</v>
      </c>
      <c r="CF31" s="97"/>
      <c r="CH31" s="20" t="s">
        <v>6</v>
      </c>
      <c r="CI31" s="20" t="s">
        <v>7</v>
      </c>
      <c r="CJ31" s="20" t="s">
        <v>8</v>
      </c>
      <c r="CK31" s="21" t="s">
        <v>9</v>
      </c>
      <c r="CL31" s="106" t="s">
        <v>21</v>
      </c>
      <c r="CM31" s="107"/>
      <c r="CO31" s="20" t="s">
        <v>6</v>
      </c>
      <c r="CP31" s="20" t="s">
        <v>7</v>
      </c>
      <c r="CQ31" s="20" t="s">
        <v>8</v>
      </c>
      <c r="CR31" s="21" t="s">
        <v>9</v>
      </c>
      <c r="CS31" s="106" t="s">
        <v>21</v>
      </c>
      <c r="CT31" s="107"/>
      <c r="CV31" s="68" t="s">
        <v>6</v>
      </c>
      <c r="CW31" s="68" t="s">
        <v>7</v>
      </c>
      <c r="CX31" s="69" t="s">
        <v>268</v>
      </c>
      <c r="CY31" s="69" t="s">
        <v>269</v>
      </c>
      <c r="CZ31" s="69" t="s">
        <v>270</v>
      </c>
      <c r="DA31" s="69" t="s">
        <v>273</v>
      </c>
      <c r="DB31" s="69" t="s">
        <v>271</v>
      </c>
      <c r="DC31" s="69" t="s">
        <v>272</v>
      </c>
      <c r="DE31" s="92" t="s">
        <v>291</v>
      </c>
      <c r="DF31" s="92" t="s">
        <v>292</v>
      </c>
    </row>
    <row r="32" spans="1:110" ht="19" thickBot="1" x14ac:dyDescent="0.25">
      <c r="A32" s="24" t="s">
        <v>54</v>
      </c>
      <c r="B32" s="9" t="s">
        <v>82</v>
      </c>
      <c r="C32" s="10" t="s">
        <v>56</v>
      </c>
      <c r="D32" s="11">
        <v>3859000</v>
      </c>
      <c r="E32" s="12">
        <f>(D32*19)/100</f>
        <v>733210</v>
      </c>
      <c r="F32" s="112">
        <f>D32+E32</f>
        <v>4592210</v>
      </c>
      <c r="G32" s="113"/>
      <c r="I32" s="9" t="s">
        <v>82</v>
      </c>
      <c r="J32" s="10" t="s">
        <v>56</v>
      </c>
      <c r="K32" s="11">
        <v>2750000</v>
      </c>
      <c r="L32" s="12">
        <v>0</v>
      </c>
      <c r="M32" s="155">
        <f>+K32+L32</f>
        <v>2750000</v>
      </c>
      <c r="N32" s="156"/>
      <c r="P32" s="34" t="s">
        <v>82</v>
      </c>
      <c r="Q32" s="35" t="s">
        <v>56</v>
      </c>
      <c r="R32" s="36">
        <v>1950000</v>
      </c>
      <c r="S32" s="37">
        <v>0</v>
      </c>
      <c r="T32" s="149">
        <f>R32+S32</f>
        <v>1950000</v>
      </c>
      <c r="U32" s="150"/>
      <c r="W32" s="9" t="s">
        <v>82</v>
      </c>
      <c r="X32" s="10" t="s">
        <v>56</v>
      </c>
      <c r="Y32" s="11">
        <v>561500000</v>
      </c>
      <c r="Z32" s="12">
        <v>0</v>
      </c>
      <c r="AA32" s="114">
        <f>+Y32/500</f>
        <v>1123000</v>
      </c>
      <c r="AB32" s="115"/>
      <c r="AD32" s="9" t="s">
        <v>82</v>
      </c>
      <c r="AE32" s="10" t="s">
        <v>56</v>
      </c>
      <c r="AF32" s="11">
        <v>2005114.4187266408</v>
      </c>
      <c r="AG32" s="12">
        <v>0</v>
      </c>
      <c r="AH32" s="155">
        <f>AF32+AG32</f>
        <v>2005114.4187266408</v>
      </c>
      <c r="AI32" s="156"/>
      <c r="AK32" s="9" t="s">
        <v>82</v>
      </c>
      <c r="AL32" s="10" t="s">
        <v>56</v>
      </c>
      <c r="AM32" s="11">
        <v>3483000</v>
      </c>
      <c r="AN32" s="12">
        <v>817000</v>
      </c>
      <c r="AO32" s="114">
        <f>AM32+AN32</f>
        <v>4300000</v>
      </c>
      <c r="AP32" s="115"/>
      <c r="AR32" s="54" t="s">
        <v>82</v>
      </c>
      <c r="AS32" s="55" t="s">
        <v>56</v>
      </c>
      <c r="AT32" s="56">
        <v>3114924</v>
      </c>
      <c r="AU32" s="57">
        <v>0</v>
      </c>
      <c r="AV32" s="131">
        <f t="shared" ref="AV32:AV35" si="48">AT32+AU32</f>
        <v>3114924</v>
      </c>
      <c r="AW32" s="132"/>
      <c r="AY32" s="34" t="s">
        <v>82</v>
      </c>
      <c r="AZ32" s="35" t="s">
        <v>56</v>
      </c>
      <c r="BA32" s="36">
        <v>7350000</v>
      </c>
      <c r="BB32" s="37">
        <v>0</v>
      </c>
      <c r="BC32" s="149">
        <f>BA32+BB32</f>
        <v>7350000</v>
      </c>
      <c r="BD32" s="150"/>
      <c r="BF32" s="54" t="s">
        <v>82</v>
      </c>
      <c r="BG32" s="55" t="s">
        <v>56</v>
      </c>
      <c r="BH32" s="56">
        <v>3227801.7702506655</v>
      </c>
      <c r="BI32" s="57">
        <v>0</v>
      </c>
      <c r="BJ32" s="131">
        <f t="shared" ref="BJ32:BJ35" si="49">BH32+BI32</f>
        <v>3227801.7702506655</v>
      </c>
      <c r="BK32" s="132"/>
      <c r="BM32" s="9" t="s">
        <v>82</v>
      </c>
      <c r="BN32" s="10" t="s">
        <v>56</v>
      </c>
      <c r="BO32" s="11">
        <v>448600</v>
      </c>
      <c r="BP32" s="12">
        <v>0</v>
      </c>
      <c r="BQ32" s="112">
        <f>BO32+BP32</f>
        <v>448600</v>
      </c>
      <c r="BR32" s="113"/>
      <c r="BT32" s="9" t="s">
        <v>82</v>
      </c>
      <c r="BU32" s="10" t="s">
        <v>56</v>
      </c>
      <c r="BV32" s="11">
        <v>3160000</v>
      </c>
      <c r="BW32" s="12">
        <v>0</v>
      </c>
      <c r="BX32" s="112">
        <f>BV32+BW32</f>
        <v>3160000</v>
      </c>
      <c r="BY32" s="113"/>
      <c r="CA32" s="54" t="s">
        <v>82</v>
      </c>
      <c r="CB32" s="55" t="s">
        <v>56</v>
      </c>
      <c r="CC32" s="56">
        <v>3000000</v>
      </c>
      <c r="CD32" s="57">
        <v>0</v>
      </c>
      <c r="CE32" s="131">
        <f t="shared" ref="CE32:CE35" si="50">CC32+CD32</f>
        <v>3000000</v>
      </c>
      <c r="CF32" s="132"/>
      <c r="CH32" s="9" t="s">
        <v>82</v>
      </c>
      <c r="CI32" s="10" t="s">
        <v>56</v>
      </c>
      <c r="CJ32" s="11">
        <v>2500000</v>
      </c>
      <c r="CK32" s="12">
        <v>0</v>
      </c>
      <c r="CL32" s="112">
        <f>CJ32+CK32</f>
        <v>2500000</v>
      </c>
      <c r="CM32" s="113"/>
      <c r="CO32" s="9" t="s">
        <v>82</v>
      </c>
      <c r="CP32" s="10" t="s">
        <v>56</v>
      </c>
      <c r="CQ32" s="11">
        <v>943888.88888888841</v>
      </c>
      <c r="CR32" s="12">
        <f>CQ32*0.19</f>
        <v>179338.88888888879</v>
      </c>
      <c r="CS32" s="112">
        <f>CQ32+CR32</f>
        <v>1123227.7777777773</v>
      </c>
      <c r="CT32" s="113"/>
      <c r="CV32" s="9" t="s">
        <v>82</v>
      </c>
      <c r="CW32" s="10" t="s">
        <v>56</v>
      </c>
      <c r="CX32" s="72">
        <f>+MAX(F32,M32,T32,AA32,AH32,AO32,AV32,BC32,BJ32,BQ32,BX32,CE32,CL32,CS32)</f>
        <v>7350000</v>
      </c>
      <c r="CY32" s="72">
        <f>+MIN(F32,M32,T32,AA32,AH32,AO32,AV32,BC32,BJ32,BQ32,BX32,CE32,CL32,CS32)</f>
        <v>448600</v>
      </c>
      <c r="CZ32" s="72">
        <f>+AVERAGE(F32,M32,T32,AA32,AH32,AO32,AV32,BC32,BJ32,BQ32,BX32,CE32,CL32,CS32)</f>
        <v>2903205.5690539344</v>
      </c>
      <c r="DA32" s="72">
        <f>+TRIMMEAN((F32,M32,T32,AA32,AH32,AO32,AV32,BC32,BJ32,BQ32,BX32,CE32,CL32,CS32),(2/14))</f>
        <v>2737189.8305629236</v>
      </c>
      <c r="DB32" s="72">
        <f>+MEDIAN(F32,M32,T32,AA32,AH32,AO32,AV32,BC32,BJ32,BQ32,BX32,CE32,CL32,CS32)</f>
        <v>2875000</v>
      </c>
      <c r="DC32" s="86" t="str">
        <f>IFERROR(MODE(F32,M32,T32,AA32,AH32,AO32,AV32,BC32,BJ32,BQ32,BX32,CE32,CL32,CS32),"N/A")</f>
        <v>N/A</v>
      </c>
      <c r="DD32" s="88">
        <f>+STDEV(F32,M32,T32,AA32,AH32,AO32,AV32,BC32,BJ32,BQ32,BX32,CE32,CL32,CS32)/CZ32</f>
        <v>0.59711174051214677</v>
      </c>
      <c r="DE32" t="s">
        <v>176</v>
      </c>
      <c r="DF32" t="s">
        <v>192</v>
      </c>
    </row>
    <row r="33" spans="1:110" ht="19" thickBot="1" x14ac:dyDescent="0.25">
      <c r="A33" s="24" t="s">
        <v>57</v>
      </c>
      <c r="B33" s="9" t="s">
        <v>83</v>
      </c>
      <c r="C33" s="13" t="s">
        <v>59</v>
      </c>
      <c r="D33" s="11">
        <v>2664000</v>
      </c>
      <c r="E33" s="12">
        <f t="shared" ref="E33:E35" si="51">(D33*19)/100</f>
        <v>506160</v>
      </c>
      <c r="F33" s="108">
        <f t="shared" ref="F33:F35" si="52">D33+E33</f>
        <v>3170160</v>
      </c>
      <c r="G33" s="109"/>
      <c r="I33" s="9" t="s">
        <v>83</v>
      </c>
      <c r="J33" s="13" t="s">
        <v>59</v>
      </c>
      <c r="K33" s="11">
        <v>2450000</v>
      </c>
      <c r="L33" s="12">
        <v>0</v>
      </c>
      <c r="M33" s="155">
        <f>+K33+L33</f>
        <v>2450000</v>
      </c>
      <c r="N33" s="156"/>
      <c r="P33" s="34" t="s">
        <v>83</v>
      </c>
      <c r="Q33" s="38" t="s">
        <v>59</v>
      </c>
      <c r="R33" s="36">
        <v>1911000</v>
      </c>
      <c r="S33" s="37">
        <v>0</v>
      </c>
      <c r="T33" s="138">
        <f t="shared" ref="T33:T35" si="53">R33+S33</f>
        <v>1911000</v>
      </c>
      <c r="U33" s="139"/>
      <c r="W33" s="9" t="s">
        <v>83</v>
      </c>
      <c r="X33" s="13" t="s">
        <v>59</v>
      </c>
      <c r="Y33" s="11">
        <v>981000000</v>
      </c>
      <c r="Z33" s="12">
        <v>0</v>
      </c>
      <c r="AA33" s="114">
        <f>+Y33/1000</f>
        <v>981000</v>
      </c>
      <c r="AB33" s="115"/>
      <c r="AD33" s="9" t="s">
        <v>83</v>
      </c>
      <c r="AE33" s="13" t="s">
        <v>59</v>
      </c>
      <c r="AF33" s="11">
        <v>1985456.4342293208</v>
      </c>
      <c r="AG33" s="12">
        <v>0</v>
      </c>
      <c r="AH33" s="157">
        <f t="shared" ref="AH33:AH35" si="54">AF33+AG33</f>
        <v>1985456.4342293208</v>
      </c>
      <c r="AI33" s="158"/>
      <c r="AK33" s="9" t="s">
        <v>83</v>
      </c>
      <c r="AL33" s="13" t="s">
        <v>59</v>
      </c>
      <c r="AM33" s="11"/>
      <c r="AN33" s="12">
        <v>0</v>
      </c>
      <c r="AO33" s="151">
        <f>+AM33+AN33</f>
        <v>0</v>
      </c>
      <c r="AP33" s="152"/>
      <c r="AR33" s="54" t="s">
        <v>83</v>
      </c>
      <c r="AS33" s="58" t="s">
        <v>59</v>
      </c>
      <c r="AT33" s="56">
        <v>3069279</v>
      </c>
      <c r="AU33" s="57">
        <v>0</v>
      </c>
      <c r="AV33" s="93">
        <f t="shared" si="48"/>
        <v>3069279</v>
      </c>
      <c r="AW33" s="94"/>
      <c r="AY33" s="34" t="s">
        <v>83</v>
      </c>
      <c r="AZ33" s="38" t="s">
        <v>59</v>
      </c>
      <c r="BA33" s="36">
        <v>5950000</v>
      </c>
      <c r="BB33" s="37">
        <v>0</v>
      </c>
      <c r="BC33" s="138">
        <f t="shared" ref="BC33:BC35" si="55">BA33+BB33</f>
        <v>5950000</v>
      </c>
      <c r="BD33" s="139"/>
      <c r="BF33" s="54" t="s">
        <v>83</v>
      </c>
      <c r="BG33" s="58" t="s">
        <v>59</v>
      </c>
      <c r="BH33" s="56">
        <v>3180566.8867952316</v>
      </c>
      <c r="BI33" s="57">
        <v>0</v>
      </c>
      <c r="BJ33" s="93">
        <f t="shared" si="49"/>
        <v>3180566.8867952316</v>
      </c>
      <c r="BK33" s="94"/>
      <c r="BM33" s="9" t="s">
        <v>83</v>
      </c>
      <c r="BN33" s="13" t="s">
        <v>59</v>
      </c>
      <c r="BO33" s="11">
        <v>425300</v>
      </c>
      <c r="BP33" s="12">
        <v>0</v>
      </c>
      <c r="BQ33" s="108">
        <f t="shared" ref="BQ33:BQ35" si="56">BO33+BP33</f>
        <v>425300</v>
      </c>
      <c r="BR33" s="109"/>
      <c r="BT33" s="9" t="s">
        <v>83</v>
      </c>
      <c r="BU33" s="13" t="s">
        <v>59</v>
      </c>
      <c r="BV33" s="11">
        <v>2700000</v>
      </c>
      <c r="BW33" s="12">
        <v>0</v>
      </c>
      <c r="BX33" s="108">
        <f>BV33+BW33</f>
        <v>2700000</v>
      </c>
      <c r="BY33" s="109"/>
      <c r="CA33" s="54" t="s">
        <v>83</v>
      </c>
      <c r="CB33" s="58" t="s">
        <v>59</v>
      </c>
      <c r="CC33" s="56">
        <v>3000000</v>
      </c>
      <c r="CD33" s="57">
        <v>0</v>
      </c>
      <c r="CE33" s="93">
        <f t="shared" si="50"/>
        <v>3000000</v>
      </c>
      <c r="CF33" s="94"/>
      <c r="CH33" s="9" t="s">
        <v>83</v>
      </c>
      <c r="CI33" s="13" t="s">
        <v>59</v>
      </c>
      <c r="CJ33" s="11">
        <v>2200000</v>
      </c>
      <c r="CK33" s="12">
        <v>0</v>
      </c>
      <c r="CL33" s="108">
        <f t="shared" ref="CL33:CL35" si="57">CJ33+CK33</f>
        <v>2200000</v>
      </c>
      <c r="CM33" s="109"/>
      <c r="CO33" s="9" t="s">
        <v>83</v>
      </c>
      <c r="CP33" s="13" t="s">
        <v>59</v>
      </c>
      <c r="CQ33" s="11">
        <v>943888.88888888841</v>
      </c>
      <c r="CR33" s="12">
        <f>CQ33*0.19</f>
        <v>179338.88888888879</v>
      </c>
      <c r="CS33" s="108">
        <f t="shared" ref="CS33:CS35" si="58">CQ33+CR33</f>
        <v>1123227.7777777773</v>
      </c>
      <c r="CT33" s="109"/>
      <c r="CV33" s="9" t="s">
        <v>83</v>
      </c>
      <c r="CW33" s="13" t="s">
        <v>59</v>
      </c>
      <c r="CX33" s="72">
        <f>+MAX(F33,M33,T33,AA33,AH33,AV33,BC33,BJ33,BQ33,BX33,CE33,CL33,CS33)</f>
        <v>5950000</v>
      </c>
      <c r="CY33" s="72">
        <f>+MIN(F33,M33,T33,AA33,AH33,AV33,BC33,BJ33,BQ33,BX33,CE33,CL33,CS33)</f>
        <v>425300</v>
      </c>
      <c r="CZ33" s="72">
        <f>+AVERAGE(F33,M33,T33,AA33,AH33,AV33,BC33,BJ33,BQ33,BX33,CE33,CL33,CS33)</f>
        <v>2472768.4691386404</v>
      </c>
      <c r="DA33" s="72">
        <f>+TRIMMEAN((F33,M33,T33,AA33,AH33,AV33,BC33,BJ33,BQ33,BX33,CE33,CL33,CS33),(2/13))</f>
        <v>2342790.0089820297</v>
      </c>
      <c r="DB33" s="72">
        <f>+MEDIAN(F33,M33,T33,AA33,AH33,AV33,BC33,BJ33,BQ33,BX33,CE33,CL33,CS33)</f>
        <v>2450000</v>
      </c>
      <c r="DC33" s="86" t="str">
        <f>IFERROR(MODE(F33,M33,T33,AA33,AH33,AV33,BC33,BJ33,BQ33,BX33,CE33,CL33,CS33),"N/A")</f>
        <v>N/A</v>
      </c>
      <c r="DD33" s="88">
        <f>+STDEV(F33,M33,T33,AA33,AH33,AV33,BC33,BJ33,BQ33,BX33,CE33,CL33,CS33)/CZ33</f>
        <v>0.5553597097547941</v>
      </c>
      <c r="DE33" t="s">
        <v>176</v>
      </c>
      <c r="DF33" t="s">
        <v>192</v>
      </c>
    </row>
    <row r="34" spans="1:110" ht="19" thickBot="1" x14ac:dyDescent="0.25">
      <c r="A34" s="24" t="s">
        <v>60</v>
      </c>
      <c r="B34" s="9" t="s">
        <v>84</v>
      </c>
      <c r="C34" s="13" t="s">
        <v>62</v>
      </c>
      <c r="D34" s="11">
        <v>2239000</v>
      </c>
      <c r="E34" s="12">
        <f t="shared" si="51"/>
        <v>425410</v>
      </c>
      <c r="F34" s="108">
        <f t="shared" si="52"/>
        <v>2664410</v>
      </c>
      <c r="G34" s="109"/>
      <c r="I34" s="9" t="s">
        <v>84</v>
      </c>
      <c r="J34" s="13" t="s">
        <v>62</v>
      </c>
      <c r="K34" s="11">
        <v>2350000</v>
      </c>
      <c r="L34" s="12">
        <v>0</v>
      </c>
      <c r="M34" s="155">
        <f>+K34+L34</f>
        <v>2350000</v>
      </c>
      <c r="N34" s="156"/>
      <c r="P34" s="34" t="s">
        <v>84</v>
      </c>
      <c r="Q34" s="38" t="s">
        <v>62</v>
      </c>
      <c r="R34" s="36">
        <v>1872780</v>
      </c>
      <c r="S34" s="37">
        <v>0</v>
      </c>
      <c r="T34" s="138">
        <f t="shared" si="53"/>
        <v>1872780</v>
      </c>
      <c r="U34" s="139"/>
      <c r="W34" s="9" t="s">
        <v>84</v>
      </c>
      <c r="X34" s="13" t="s">
        <v>62</v>
      </c>
      <c r="Y34" s="11">
        <v>1018600000</v>
      </c>
      <c r="Z34" s="12">
        <v>0</v>
      </c>
      <c r="AA34" s="114">
        <f>+Y34/1500</f>
        <v>679066.66666666663</v>
      </c>
      <c r="AB34" s="115"/>
      <c r="AD34" s="9" t="s">
        <v>84</v>
      </c>
      <c r="AE34" s="13" t="s">
        <v>62</v>
      </c>
      <c r="AF34" s="11">
        <v>1966180.1581688419</v>
      </c>
      <c r="AG34" s="12">
        <v>0</v>
      </c>
      <c r="AH34" s="157">
        <f t="shared" si="54"/>
        <v>1966180.1581688419</v>
      </c>
      <c r="AI34" s="158"/>
      <c r="AK34" s="9" t="s">
        <v>84</v>
      </c>
      <c r="AL34" s="13" t="s">
        <v>62</v>
      </c>
      <c r="AM34" s="11">
        <v>0</v>
      </c>
      <c r="AN34" s="12">
        <v>0</v>
      </c>
      <c r="AO34" s="151">
        <f t="shared" ref="AO34:AO35" si="59">AM34+AN34</f>
        <v>0</v>
      </c>
      <c r="AP34" s="152"/>
      <c r="AR34" s="54" t="s">
        <v>84</v>
      </c>
      <c r="AS34" s="58" t="s">
        <v>62</v>
      </c>
      <c r="AT34" s="56">
        <v>3023538</v>
      </c>
      <c r="AU34" s="57">
        <v>0</v>
      </c>
      <c r="AV34" s="93">
        <f t="shared" si="48"/>
        <v>3023538</v>
      </c>
      <c r="AW34" s="94"/>
      <c r="AY34" s="34" t="s">
        <v>84</v>
      </c>
      <c r="AZ34" s="38" t="s">
        <v>62</v>
      </c>
      <c r="BA34" s="36">
        <v>5760000</v>
      </c>
      <c r="BB34" s="37">
        <v>0</v>
      </c>
      <c r="BC34" s="138">
        <f t="shared" si="55"/>
        <v>5760000</v>
      </c>
      <c r="BD34" s="139"/>
      <c r="BF34" s="54" t="s">
        <v>84</v>
      </c>
      <c r="BG34" s="58" t="s">
        <v>62</v>
      </c>
      <c r="BH34" s="56">
        <v>3133171.7194082411</v>
      </c>
      <c r="BI34" s="57">
        <v>0</v>
      </c>
      <c r="BJ34" s="93">
        <f t="shared" si="49"/>
        <v>3133171.7194082411</v>
      </c>
      <c r="BK34" s="94"/>
      <c r="BM34" s="9" t="s">
        <v>84</v>
      </c>
      <c r="BN34" s="13" t="s">
        <v>62</v>
      </c>
      <c r="BO34" s="11">
        <v>408600</v>
      </c>
      <c r="BP34" s="12">
        <v>0</v>
      </c>
      <c r="BQ34" s="108">
        <f t="shared" si="56"/>
        <v>408600</v>
      </c>
      <c r="BR34" s="109"/>
      <c r="BT34" s="9" t="s">
        <v>84</v>
      </c>
      <c r="BU34" s="13" t="s">
        <v>62</v>
      </c>
      <c r="BV34" s="11">
        <v>2520000</v>
      </c>
      <c r="BW34" s="12">
        <v>0</v>
      </c>
      <c r="BX34" s="108">
        <f>BV34+BW34</f>
        <v>2520000</v>
      </c>
      <c r="BY34" s="109"/>
      <c r="CA34" s="54" t="s">
        <v>84</v>
      </c>
      <c r="CB34" s="58" t="s">
        <v>62</v>
      </c>
      <c r="CC34" s="56">
        <v>3000000</v>
      </c>
      <c r="CD34" s="57">
        <v>0</v>
      </c>
      <c r="CE34" s="93">
        <f t="shared" si="50"/>
        <v>3000000</v>
      </c>
      <c r="CF34" s="94"/>
      <c r="CH34" s="9" t="s">
        <v>84</v>
      </c>
      <c r="CI34" s="13" t="s">
        <v>62</v>
      </c>
      <c r="CJ34" s="11">
        <v>2000000</v>
      </c>
      <c r="CK34" s="12">
        <v>0</v>
      </c>
      <c r="CL34" s="108">
        <f t="shared" si="57"/>
        <v>2000000</v>
      </c>
      <c r="CM34" s="109"/>
      <c r="CO34" s="9" t="s">
        <v>84</v>
      </c>
      <c r="CP34" s="13" t="s">
        <v>62</v>
      </c>
      <c r="CQ34" s="11">
        <v>943888.88888888841</v>
      </c>
      <c r="CR34" s="12">
        <f>CQ34*0.19</f>
        <v>179338.88888888879</v>
      </c>
      <c r="CS34" s="108">
        <f t="shared" si="58"/>
        <v>1123227.7777777773</v>
      </c>
      <c r="CT34" s="109"/>
      <c r="CV34" s="9" t="s">
        <v>84</v>
      </c>
      <c r="CW34" s="13" t="s">
        <v>62</v>
      </c>
      <c r="CX34" s="72">
        <f>+MAX(F34,M34,T34,AA34,AH34,AV34,BC34,BJ34,BQ34,BX34,CE34,CL34,CS34)</f>
        <v>5760000</v>
      </c>
      <c r="CY34" s="72">
        <f>+MIN(F34,M34,T34,AA34,AH34,AV34,BC34,BJ34,BQ34,BX34,CE34,CL34,CS34)</f>
        <v>408600</v>
      </c>
      <c r="CZ34" s="72">
        <f>+AVERAGE(F34,M34,T34,AA34,AH34,AV34,BC34,BJ34,BQ34,BX34,CE34,CL34,CS34)</f>
        <v>2346228.7940016557</v>
      </c>
      <c r="DA34" s="72">
        <f>+TRIMMEAN((F34,M34,T34,AA34,AH34,AV34,BC34,BJ34,BQ34,BX34,CE34,CL34,CS34),(2/13))</f>
        <v>2212034.0292746839</v>
      </c>
      <c r="DB34" s="72">
        <f>+MEDIAN(F34,M34,T34,AA34,AH34,AV34,BC34,BJ34,BQ34,BX34,CE34,CL34,CS34)</f>
        <v>2350000</v>
      </c>
      <c r="DC34" s="86" t="str">
        <f>IFERROR(MODE(F34,M34,T34,AA34,AH34,AV34,BC34,BJ34,BQ34,BX34,CE34,CL34,CS34),"N/A")</f>
        <v>N/A</v>
      </c>
      <c r="DD34" s="88">
        <f>+STDEV(F34,M34,T34,AA34,AH34,AV34,BC34,BJ34,BQ34,BX34,CE34,CL34,CS34)/CZ34</f>
        <v>0.57458527649449209</v>
      </c>
      <c r="DE34" t="s">
        <v>176</v>
      </c>
      <c r="DF34" t="s">
        <v>192</v>
      </c>
    </row>
    <row r="35" spans="1:110" ht="19" thickBot="1" x14ac:dyDescent="0.25">
      <c r="A35" s="24" t="s">
        <v>63</v>
      </c>
      <c r="B35" s="9" t="s">
        <v>85</v>
      </c>
      <c r="C35" s="14" t="s">
        <v>65</v>
      </c>
      <c r="D35" s="11">
        <v>2128000</v>
      </c>
      <c r="E35" s="12">
        <f t="shared" si="51"/>
        <v>404320</v>
      </c>
      <c r="F35" s="110">
        <f t="shared" si="52"/>
        <v>2532320</v>
      </c>
      <c r="G35" s="111"/>
      <c r="I35" s="9" t="s">
        <v>85</v>
      </c>
      <c r="J35" s="14" t="s">
        <v>65</v>
      </c>
      <c r="K35" s="11">
        <v>2320000</v>
      </c>
      <c r="L35" s="12">
        <v>0</v>
      </c>
      <c r="M35" s="155">
        <f>+K35+L35</f>
        <v>2320000</v>
      </c>
      <c r="N35" s="156"/>
      <c r="P35" s="34" t="s">
        <v>85</v>
      </c>
      <c r="Q35" s="39" t="s">
        <v>65</v>
      </c>
      <c r="R35" s="36">
        <v>1835324</v>
      </c>
      <c r="S35" s="37">
        <v>0</v>
      </c>
      <c r="T35" s="140">
        <f t="shared" si="53"/>
        <v>1835324</v>
      </c>
      <c r="U35" s="141"/>
      <c r="W35" s="9" t="s">
        <v>85</v>
      </c>
      <c r="X35" s="14" t="s">
        <v>65</v>
      </c>
      <c r="Y35" s="11">
        <v>1018600000</v>
      </c>
      <c r="Z35" s="12">
        <v>0</v>
      </c>
      <c r="AA35" s="114">
        <f>+Y35/1501</f>
        <v>678614.25716189202</v>
      </c>
      <c r="AB35" s="115"/>
      <c r="AD35" s="9" t="s">
        <v>85</v>
      </c>
      <c r="AE35" s="14" t="s">
        <v>65</v>
      </c>
      <c r="AF35" s="11">
        <v>1947274.5797249107</v>
      </c>
      <c r="AG35" s="12">
        <v>0</v>
      </c>
      <c r="AH35" s="153">
        <f t="shared" si="54"/>
        <v>1947274.5797249107</v>
      </c>
      <c r="AI35" s="154"/>
      <c r="AK35" s="9" t="s">
        <v>85</v>
      </c>
      <c r="AL35" s="14" t="s">
        <v>65</v>
      </c>
      <c r="AM35" s="11">
        <v>0</v>
      </c>
      <c r="AN35" s="12">
        <v>0</v>
      </c>
      <c r="AO35" s="151">
        <f t="shared" si="59"/>
        <v>0</v>
      </c>
      <c r="AP35" s="152"/>
      <c r="AR35" s="54" t="s">
        <v>85</v>
      </c>
      <c r="AS35" s="59" t="s">
        <v>65</v>
      </c>
      <c r="AT35" s="56">
        <v>2967472</v>
      </c>
      <c r="AU35" s="57">
        <v>0</v>
      </c>
      <c r="AV35" s="133">
        <f t="shared" si="48"/>
        <v>2967472</v>
      </c>
      <c r="AW35" s="134"/>
      <c r="AY35" s="34" t="s">
        <v>85</v>
      </c>
      <c r="AZ35" s="39" t="s">
        <v>65</v>
      </c>
      <c r="BA35" s="36">
        <v>5700000</v>
      </c>
      <c r="BB35" s="37">
        <v>0</v>
      </c>
      <c r="BC35" s="140">
        <f t="shared" si="55"/>
        <v>5700000</v>
      </c>
      <c r="BD35" s="141"/>
      <c r="BF35" s="54" t="s">
        <v>85</v>
      </c>
      <c r="BG35" s="59" t="s">
        <v>65</v>
      </c>
      <c r="BH35" s="56">
        <v>3075087.6156335194</v>
      </c>
      <c r="BI35" s="57">
        <v>0</v>
      </c>
      <c r="BJ35" s="133">
        <f t="shared" si="49"/>
        <v>3075087.6156335194</v>
      </c>
      <c r="BK35" s="134"/>
      <c r="BM35" s="9" t="s">
        <v>85</v>
      </c>
      <c r="BN35" s="14" t="s">
        <v>65</v>
      </c>
      <c r="BO35" s="11">
        <v>0</v>
      </c>
      <c r="BP35" s="12">
        <v>0</v>
      </c>
      <c r="BQ35" s="135">
        <f t="shared" si="56"/>
        <v>0</v>
      </c>
      <c r="BR35" s="136"/>
      <c r="BT35" s="9" t="s">
        <v>85</v>
      </c>
      <c r="BU35" s="14" t="s">
        <v>65</v>
      </c>
      <c r="BV35" s="11">
        <v>2400000</v>
      </c>
      <c r="BW35" s="12">
        <v>0</v>
      </c>
      <c r="BX35" s="110">
        <f>BV35+BW35</f>
        <v>2400000</v>
      </c>
      <c r="BY35" s="111"/>
      <c r="CA35" s="54" t="s">
        <v>85</v>
      </c>
      <c r="CB35" s="59" t="s">
        <v>65</v>
      </c>
      <c r="CC35" s="56">
        <v>3000000</v>
      </c>
      <c r="CD35" s="57">
        <v>0</v>
      </c>
      <c r="CE35" s="133">
        <f t="shared" si="50"/>
        <v>3000000</v>
      </c>
      <c r="CF35" s="134"/>
      <c r="CH35" s="9" t="s">
        <v>85</v>
      </c>
      <c r="CI35" s="14" t="s">
        <v>65</v>
      </c>
      <c r="CJ35" s="11">
        <v>2000000</v>
      </c>
      <c r="CK35" s="12">
        <v>0</v>
      </c>
      <c r="CL35" s="110">
        <f t="shared" si="57"/>
        <v>2000000</v>
      </c>
      <c r="CM35" s="111"/>
      <c r="CO35" s="9" t="s">
        <v>85</v>
      </c>
      <c r="CP35" s="14" t="s">
        <v>65</v>
      </c>
      <c r="CQ35" s="11">
        <v>913888.88888888841</v>
      </c>
      <c r="CR35" s="12">
        <f>CQ35*0.19</f>
        <v>173638.88888888879</v>
      </c>
      <c r="CS35" s="110">
        <f t="shared" si="58"/>
        <v>1087527.7777777773</v>
      </c>
      <c r="CT35" s="111"/>
      <c r="CV35" s="9" t="s">
        <v>85</v>
      </c>
      <c r="CW35" s="14" t="s">
        <v>65</v>
      </c>
      <c r="CX35" s="72">
        <f>+MAX(F35,M35,T35,AA35,AH35,AV35,BC35,BJ35,BX35,CE35,CL35,CS35)</f>
        <v>5700000</v>
      </c>
      <c r="CY35" s="72">
        <f>+MIN(F35,M35,T35,AA35,AH35,AV35,BC35,BJ35,BX35,CE35,CL35,CS35)</f>
        <v>678614.25716189202</v>
      </c>
      <c r="CZ35" s="72">
        <f>+AVERAGE(F35,M35,T35,AA35,AH35,AV35,BC35,BJ35,BX35,CE35,CL35,CS35)</f>
        <v>2461968.3525248412</v>
      </c>
      <c r="DA35" s="72">
        <f>+TRIMMEAN((F35,M35,T35,AA35,AH35,AV35,BC35,BJ35,BX35,CE35,CL35,CS35),(2/12))</f>
        <v>2316500.5973136211</v>
      </c>
      <c r="DB35" s="72">
        <f>+MEDIAN(F35,M35,T35,AA35,AH35,AV35,BC35,BJ35,BX35,CE35,CL35,CS35)</f>
        <v>2360000</v>
      </c>
      <c r="DC35" s="86" t="str">
        <f>IFERROR(MODE(F35,M35,T35,AA35,AH35,AV35,BC35,BJ35,BX35,CE35,CL35,CS35),"N/A")</f>
        <v>N/A</v>
      </c>
      <c r="DD35" s="88">
        <f>+STDEV(F35,M35,T35,AA35,AH35,AV35,BC35,BJ35,BX35,CE35,CL35,CS35)/CZ35</f>
        <v>0.51048817230962851</v>
      </c>
      <c r="DE35" t="s">
        <v>176</v>
      </c>
      <c r="DF35" t="s">
        <v>192</v>
      </c>
    </row>
    <row r="36" spans="1:110" ht="76" thickBot="1" x14ac:dyDescent="0.25">
      <c r="A36" s="1" t="s">
        <v>80</v>
      </c>
      <c r="B36" s="103" t="s">
        <v>81</v>
      </c>
      <c r="C36" s="104"/>
      <c r="D36" s="104"/>
      <c r="E36" s="105"/>
      <c r="F36" s="18" t="s">
        <v>3</v>
      </c>
      <c r="G36" s="19" t="s">
        <v>20</v>
      </c>
      <c r="I36" s="15" t="s">
        <v>81</v>
      </c>
      <c r="J36" s="16"/>
      <c r="K36" s="16"/>
      <c r="L36" s="17"/>
      <c r="M36" s="18" t="s">
        <v>3</v>
      </c>
      <c r="N36" s="19" t="s">
        <v>20</v>
      </c>
      <c r="P36" s="144" t="s">
        <v>81</v>
      </c>
      <c r="Q36" s="145"/>
      <c r="R36" s="145"/>
      <c r="S36" s="146"/>
      <c r="T36" s="40" t="s">
        <v>3</v>
      </c>
      <c r="U36" s="41" t="s">
        <v>20</v>
      </c>
      <c r="W36" s="103" t="s">
        <v>81</v>
      </c>
      <c r="X36" s="104"/>
      <c r="Y36" s="104"/>
      <c r="Z36" s="105"/>
      <c r="AA36" s="18" t="s">
        <v>3</v>
      </c>
      <c r="AB36" s="19" t="s">
        <v>20</v>
      </c>
      <c r="AD36" s="103" t="s">
        <v>81</v>
      </c>
      <c r="AE36" s="104"/>
      <c r="AF36" s="104"/>
      <c r="AG36" s="105"/>
      <c r="AH36" s="18" t="s">
        <v>3</v>
      </c>
      <c r="AI36" s="19" t="s">
        <v>20</v>
      </c>
      <c r="AK36" s="103" t="s">
        <v>81</v>
      </c>
      <c r="AL36" s="104"/>
      <c r="AM36" s="104"/>
      <c r="AN36" s="105"/>
      <c r="AO36" s="18" t="s">
        <v>3</v>
      </c>
      <c r="AP36" s="19" t="s">
        <v>20</v>
      </c>
      <c r="AR36" s="95" t="s">
        <v>81</v>
      </c>
      <c r="AS36" s="96"/>
      <c r="AT36" s="96"/>
      <c r="AU36" s="97"/>
      <c r="AV36" s="60" t="s">
        <v>3</v>
      </c>
      <c r="AW36" s="61" t="s">
        <v>20</v>
      </c>
      <c r="AY36" s="144" t="s">
        <v>81</v>
      </c>
      <c r="AZ36" s="145"/>
      <c r="BA36" s="145"/>
      <c r="BB36" s="146"/>
      <c r="BC36" s="40" t="s">
        <v>3</v>
      </c>
      <c r="BD36" s="41" t="s">
        <v>20</v>
      </c>
      <c r="BF36" s="137" t="s">
        <v>81</v>
      </c>
      <c r="BG36" s="96"/>
      <c r="BH36" s="96"/>
      <c r="BI36" s="97"/>
      <c r="BJ36" s="60" t="s">
        <v>3</v>
      </c>
      <c r="BK36" s="61" t="s">
        <v>20</v>
      </c>
      <c r="BM36" s="103" t="s">
        <v>81</v>
      </c>
      <c r="BN36" s="104"/>
      <c r="BO36" s="104"/>
      <c r="BP36" s="105"/>
      <c r="BQ36" s="18" t="s">
        <v>3</v>
      </c>
      <c r="BR36" s="19" t="s">
        <v>20</v>
      </c>
      <c r="BT36" s="103" t="s">
        <v>81</v>
      </c>
      <c r="BU36" s="104"/>
      <c r="BV36" s="104"/>
      <c r="BW36" s="105"/>
      <c r="BX36" s="18" t="s">
        <v>3</v>
      </c>
      <c r="BY36" s="19" t="s">
        <v>20</v>
      </c>
      <c r="CA36" s="95" t="s">
        <v>81</v>
      </c>
      <c r="CB36" s="96"/>
      <c r="CC36" s="96"/>
      <c r="CD36" s="97"/>
      <c r="CE36" s="60" t="s">
        <v>3</v>
      </c>
      <c r="CF36" s="61" t="s">
        <v>20</v>
      </c>
      <c r="CH36" s="103" t="s">
        <v>81</v>
      </c>
      <c r="CI36" s="104"/>
      <c r="CJ36" s="104"/>
      <c r="CK36" s="105"/>
      <c r="CL36" s="18" t="s">
        <v>3</v>
      </c>
      <c r="CM36" s="19" t="s">
        <v>20</v>
      </c>
      <c r="CO36" s="103" t="s">
        <v>81</v>
      </c>
      <c r="CP36" s="104"/>
      <c r="CQ36" s="104"/>
      <c r="CR36" s="105"/>
      <c r="CS36" s="18" t="s">
        <v>3</v>
      </c>
      <c r="CT36" s="19" t="s">
        <v>20</v>
      </c>
    </row>
    <row r="37" spans="1:110" ht="46" customHeight="1" thickBot="1" x14ac:dyDescent="0.25">
      <c r="A37" s="3" t="s">
        <v>5</v>
      </c>
      <c r="B37" s="20" t="s">
        <v>6</v>
      </c>
      <c r="C37" s="20" t="s">
        <v>7</v>
      </c>
      <c r="D37" s="20" t="s">
        <v>8</v>
      </c>
      <c r="E37" s="21" t="s">
        <v>9</v>
      </c>
      <c r="F37" s="106" t="s">
        <v>21</v>
      </c>
      <c r="G37" s="107"/>
      <c r="I37" s="20" t="s">
        <v>6</v>
      </c>
      <c r="J37" s="20" t="s">
        <v>7</v>
      </c>
      <c r="K37" s="20" t="s">
        <v>8</v>
      </c>
      <c r="L37" s="21" t="s">
        <v>9</v>
      </c>
      <c r="M37" s="22" t="s">
        <v>21</v>
      </c>
      <c r="N37" s="23"/>
      <c r="P37" s="42" t="s">
        <v>6</v>
      </c>
      <c r="Q37" s="42" t="s">
        <v>7</v>
      </c>
      <c r="R37" s="42" t="s">
        <v>8</v>
      </c>
      <c r="S37" s="43" t="s">
        <v>9</v>
      </c>
      <c r="T37" s="147" t="s">
        <v>21</v>
      </c>
      <c r="U37" s="148"/>
      <c r="W37" s="20" t="s">
        <v>6</v>
      </c>
      <c r="X37" s="20" t="s">
        <v>7</v>
      </c>
      <c r="Y37" s="20" t="s">
        <v>8</v>
      </c>
      <c r="Z37" s="21" t="s">
        <v>9</v>
      </c>
      <c r="AA37" s="106" t="s">
        <v>21</v>
      </c>
      <c r="AB37" s="107"/>
      <c r="AD37" s="20" t="s">
        <v>6</v>
      </c>
      <c r="AE37" s="20" t="s">
        <v>7</v>
      </c>
      <c r="AF37" s="20" t="s">
        <v>8</v>
      </c>
      <c r="AG37" s="21" t="s">
        <v>9</v>
      </c>
      <c r="AH37" s="106" t="s">
        <v>21</v>
      </c>
      <c r="AI37" s="107"/>
      <c r="AK37" s="20" t="s">
        <v>6</v>
      </c>
      <c r="AL37" s="20" t="s">
        <v>7</v>
      </c>
      <c r="AM37" s="20" t="s">
        <v>8</v>
      </c>
      <c r="AN37" s="21" t="s">
        <v>9</v>
      </c>
      <c r="AO37" s="106" t="s">
        <v>21</v>
      </c>
      <c r="AP37" s="107"/>
      <c r="AR37" s="52" t="s">
        <v>6</v>
      </c>
      <c r="AS37" s="52" t="s">
        <v>7</v>
      </c>
      <c r="AT37" s="52" t="s">
        <v>8</v>
      </c>
      <c r="AU37" s="53" t="s">
        <v>9</v>
      </c>
      <c r="AV37" s="98" t="s">
        <v>21</v>
      </c>
      <c r="AW37" s="97"/>
      <c r="AY37" s="42" t="s">
        <v>6</v>
      </c>
      <c r="AZ37" s="42" t="s">
        <v>7</v>
      </c>
      <c r="BA37" s="42" t="s">
        <v>8</v>
      </c>
      <c r="BB37" s="43" t="s">
        <v>9</v>
      </c>
      <c r="BC37" s="147" t="s">
        <v>21</v>
      </c>
      <c r="BD37" s="148"/>
      <c r="BF37" s="52" t="s">
        <v>6</v>
      </c>
      <c r="BG37" s="52" t="s">
        <v>7</v>
      </c>
      <c r="BH37" s="52" t="s">
        <v>8</v>
      </c>
      <c r="BI37" s="53" t="s">
        <v>9</v>
      </c>
      <c r="BJ37" s="98" t="s">
        <v>21</v>
      </c>
      <c r="BK37" s="97"/>
      <c r="BM37" s="20" t="s">
        <v>6</v>
      </c>
      <c r="BN37" s="20" t="s">
        <v>7</v>
      </c>
      <c r="BO37" s="20" t="s">
        <v>8</v>
      </c>
      <c r="BP37" s="21" t="s">
        <v>9</v>
      </c>
      <c r="BQ37" s="106" t="s">
        <v>21</v>
      </c>
      <c r="BR37" s="107"/>
      <c r="BT37" s="20" t="s">
        <v>6</v>
      </c>
      <c r="BU37" s="20" t="s">
        <v>7</v>
      </c>
      <c r="BV37" s="20" t="s">
        <v>8</v>
      </c>
      <c r="BW37" s="21" t="s">
        <v>9</v>
      </c>
      <c r="BX37" s="106" t="s">
        <v>21</v>
      </c>
      <c r="BY37" s="107"/>
      <c r="CA37" s="52" t="s">
        <v>6</v>
      </c>
      <c r="CB37" s="52" t="s">
        <v>7</v>
      </c>
      <c r="CC37" s="52" t="s">
        <v>8</v>
      </c>
      <c r="CD37" s="53" t="s">
        <v>9</v>
      </c>
      <c r="CE37" s="98" t="s">
        <v>21</v>
      </c>
      <c r="CF37" s="97"/>
      <c r="CH37" s="20" t="s">
        <v>6</v>
      </c>
      <c r="CI37" s="20" t="s">
        <v>7</v>
      </c>
      <c r="CJ37" s="20" t="s">
        <v>8</v>
      </c>
      <c r="CK37" s="21" t="s">
        <v>9</v>
      </c>
      <c r="CL37" s="106" t="s">
        <v>21</v>
      </c>
      <c r="CM37" s="107"/>
      <c r="CO37" s="20" t="s">
        <v>6</v>
      </c>
      <c r="CP37" s="20" t="s">
        <v>7</v>
      </c>
      <c r="CQ37" s="20" t="s">
        <v>8</v>
      </c>
      <c r="CR37" s="21" t="s">
        <v>9</v>
      </c>
      <c r="CS37" s="106" t="s">
        <v>21</v>
      </c>
      <c r="CT37" s="107"/>
      <c r="CV37" s="68" t="s">
        <v>6</v>
      </c>
      <c r="CW37" s="68" t="s">
        <v>7</v>
      </c>
      <c r="CX37" s="69" t="s">
        <v>268</v>
      </c>
      <c r="CY37" s="69" t="s">
        <v>269</v>
      </c>
      <c r="CZ37" s="69" t="s">
        <v>270</v>
      </c>
      <c r="DA37" s="69" t="s">
        <v>273</v>
      </c>
      <c r="DB37" s="69" t="s">
        <v>271</v>
      </c>
      <c r="DC37" s="69" t="s">
        <v>272</v>
      </c>
      <c r="DE37" s="92" t="s">
        <v>291</v>
      </c>
      <c r="DF37" s="92" t="s">
        <v>292</v>
      </c>
    </row>
    <row r="38" spans="1:110" ht="19" thickBot="1" x14ac:dyDescent="0.25">
      <c r="A38" s="24" t="s">
        <v>54</v>
      </c>
      <c r="B38" s="9" t="s">
        <v>86</v>
      </c>
      <c r="C38" s="10" t="s">
        <v>56</v>
      </c>
      <c r="D38" s="11">
        <v>3859000</v>
      </c>
      <c r="E38" s="12">
        <f>(D38*19)/100</f>
        <v>733210</v>
      </c>
      <c r="F38" s="112">
        <f>D38+E38</f>
        <v>4592210</v>
      </c>
      <c r="G38" s="113"/>
      <c r="I38" s="9" t="s">
        <v>86</v>
      </c>
      <c r="J38" s="10" t="s">
        <v>56</v>
      </c>
      <c r="K38" s="11">
        <v>2750000</v>
      </c>
      <c r="L38" s="12">
        <v>0</v>
      </c>
      <c r="M38" s="155">
        <f>+K38+L38</f>
        <v>2750000</v>
      </c>
      <c r="N38" s="156"/>
      <c r="P38" s="44" t="s">
        <v>86</v>
      </c>
      <c r="Q38" s="45" t="s">
        <v>56</v>
      </c>
      <c r="R38" s="46">
        <v>1950000</v>
      </c>
      <c r="S38" s="47">
        <v>0</v>
      </c>
      <c r="T38" s="149">
        <f>R38+S38</f>
        <v>1950000</v>
      </c>
      <c r="U38" s="150"/>
      <c r="W38" s="9" t="s">
        <v>86</v>
      </c>
      <c r="X38" s="10" t="s">
        <v>56</v>
      </c>
      <c r="Y38" s="11">
        <v>561500000</v>
      </c>
      <c r="Z38" s="12">
        <v>0</v>
      </c>
      <c r="AA38" s="114">
        <f>+Y38/500</f>
        <v>1123000</v>
      </c>
      <c r="AB38" s="115"/>
      <c r="AD38" s="9" t="s">
        <v>86</v>
      </c>
      <c r="AE38" s="10" t="s">
        <v>56</v>
      </c>
      <c r="AF38" s="11">
        <v>2025165.5629139072</v>
      </c>
      <c r="AG38" s="12">
        <v>0</v>
      </c>
      <c r="AH38" s="155">
        <f>AF38+AG38</f>
        <v>2025165.5629139072</v>
      </c>
      <c r="AI38" s="156"/>
      <c r="AK38" s="9" t="s">
        <v>86</v>
      </c>
      <c r="AL38" s="10" t="s">
        <v>56</v>
      </c>
      <c r="AM38" s="11">
        <v>3483000</v>
      </c>
      <c r="AN38" s="12">
        <v>817000</v>
      </c>
      <c r="AO38" s="114">
        <f>AM38+AN38</f>
        <v>4300000</v>
      </c>
      <c r="AP38" s="115"/>
      <c r="AR38" s="54" t="s">
        <v>86</v>
      </c>
      <c r="AS38" s="55" t="s">
        <v>56</v>
      </c>
      <c r="AT38" s="56">
        <v>3138566</v>
      </c>
      <c r="AU38" s="57">
        <v>0</v>
      </c>
      <c r="AV38" s="131">
        <f t="shared" ref="AV38:AV41" si="60">AT38+AU38</f>
        <v>3138566</v>
      </c>
      <c r="AW38" s="132"/>
      <c r="AY38" s="34" t="s">
        <v>86</v>
      </c>
      <c r="AZ38" s="35" t="s">
        <v>56</v>
      </c>
      <c r="BA38" s="36">
        <v>7350000</v>
      </c>
      <c r="BB38" s="37">
        <v>0</v>
      </c>
      <c r="BC38" s="149">
        <f>BA38+BB38</f>
        <v>7350000</v>
      </c>
      <c r="BD38" s="150"/>
      <c r="BF38" s="54" t="s">
        <v>86</v>
      </c>
      <c r="BG38" s="55" t="s">
        <v>56</v>
      </c>
      <c r="BH38" s="56">
        <v>3252326.4385502664</v>
      </c>
      <c r="BI38" s="57">
        <v>0</v>
      </c>
      <c r="BJ38" s="131">
        <f t="shared" ref="BJ38:BJ41" si="61">BH38+BI38</f>
        <v>3252326.4385502664</v>
      </c>
      <c r="BK38" s="132"/>
      <c r="BM38" s="9" t="s">
        <v>86</v>
      </c>
      <c r="BN38" s="10" t="s">
        <v>56</v>
      </c>
      <c r="BO38" s="11">
        <v>448600</v>
      </c>
      <c r="BP38" s="12">
        <v>0</v>
      </c>
      <c r="BQ38" s="112">
        <f>BO38+BP38</f>
        <v>448600</v>
      </c>
      <c r="BR38" s="113"/>
      <c r="BT38" s="9" t="s">
        <v>86</v>
      </c>
      <c r="BU38" s="10" t="s">
        <v>56</v>
      </c>
      <c r="BV38" s="11">
        <v>3160000</v>
      </c>
      <c r="BW38" s="12">
        <v>0</v>
      </c>
      <c r="BX38" s="112">
        <f>BV38+BW38</f>
        <v>3160000</v>
      </c>
      <c r="BY38" s="113"/>
      <c r="CA38" s="54" t="s">
        <v>86</v>
      </c>
      <c r="CB38" s="55" t="s">
        <v>56</v>
      </c>
      <c r="CC38" s="56">
        <v>3000000</v>
      </c>
      <c r="CD38" s="57">
        <v>0</v>
      </c>
      <c r="CE38" s="131">
        <f t="shared" ref="CE38:CE41" si="62">CC38+CD38</f>
        <v>3000000</v>
      </c>
      <c r="CF38" s="132"/>
      <c r="CH38" s="9" t="s">
        <v>86</v>
      </c>
      <c r="CI38" s="10" t="s">
        <v>56</v>
      </c>
      <c r="CJ38" s="11">
        <v>2500000</v>
      </c>
      <c r="CK38" s="12">
        <v>0</v>
      </c>
      <c r="CL38" s="112">
        <f>CJ38+CK38</f>
        <v>2500000</v>
      </c>
      <c r="CM38" s="113"/>
      <c r="CO38" s="9" t="s">
        <v>86</v>
      </c>
      <c r="CP38" s="10" t="s">
        <v>56</v>
      </c>
      <c r="CQ38" s="11">
        <v>943888.88888888841</v>
      </c>
      <c r="CR38" s="12">
        <f>CQ38*0.19</f>
        <v>179338.88888888879</v>
      </c>
      <c r="CS38" s="112">
        <f>CQ38+CR38</f>
        <v>1123227.7777777773</v>
      </c>
      <c r="CT38" s="113"/>
      <c r="CV38" s="9" t="s">
        <v>86</v>
      </c>
      <c r="CW38" s="10" t="s">
        <v>56</v>
      </c>
      <c r="CX38" s="72">
        <f>+MAX(F38,M38,T38,AA38,AH38,AO38,AV38,BC38,BJ38,BQ38,BX38,CE38,CL38,CS38)</f>
        <v>7350000</v>
      </c>
      <c r="CY38" s="72">
        <f>+MIN(F38,M38,T38,AA38,AH38,AO38,AV38,BC38,BJ38,BQ38,BX38,CE38,CL38,CS38)</f>
        <v>448600</v>
      </c>
      <c r="CZ38" s="72">
        <f>+AVERAGE(F38,M38,T38,AA38,AH38,AO38,AV38,BC38,BJ38,BQ38,BX38,CE38,CL38,CS38)</f>
        <v>2908078.2699458534</v>
      </c>
      <c r="DA38" s="72">
        <f>+TRIMMEAN((F38,M38,T38,AA38,AH38,AO38,AV38,BC38,BJ38,BQ38,BX38,CE38,CL38,CS38),(2/14))</f>
        <v>2742874.6482701628</v>
      </c>
      <c r="DB38" s="72">
        <f>+MEDIAN(F38,M38,T38,AA38,AH38,AO38,AV38,BC38,BJ38,BQ38,BX38,CE38,CL38,CS38)</f>
        <v>2875000</v>
      </c>
      <c r="DC38" s="86" t="str">
        <f>IFERROR(MODE(F38,M38,T38,AA38,AH38,AO38,AV38,BC38,BJ38,BQ38,BX38,CE38,CL38,CS38),"N/A")</f>
        <v>N/A</v>
      </c>
      <c r="DD38" s="88">
        <f>+STDEV(F38,M38,T38,AA38,AH38,AO38,AV38,BC38,BJ38,BQ38,BX38,CE38,CL38,CS38)/CZ38</f>
        <v>0.59604368648713013</v>
      </c>
      <c r="DE38" t="s">
        <v>176</v>
      </c>
      <c r="DF38" t="s">
        <v>192</v>
      </c>
    </row>
    <row r="39" spans="1:110" ht="19" thickBot="1" x14ac:dyDescent="0.25">
      <c r="A39" s="24" t="s">
        <v>57</v>
      </c>
      <c r="B39" s="9" t="s">
        <v>87</v>
      </c>
      <c r="C39" s="13" t="s">
        <v>59</v>
      </c>
      <c r="D39" s="11">
        <v>2664000</v>
      </c>
      <c r="E39" s="12">
        <f t="shared" ref="E39:E41" si="63">(D39*19)/100</f>
        <v>506160</v>
      </c>
      <c r="F39" s="108">
        <f t="shared" ref="F39:F41" si="64">D39+E39</f>
        <v>3170160</v>
      </c>
      <c r="G39" s="109"/>
      <c r="I39" s="9" t="s">
        <v>87</v>
      </c>
      <c r="J39" s="13" t="s">
        <v>59</v>
      </c>
      <c r="K39" s="11">
        <v>2450000</v>
      </c>
      <c r="L39" s="12">
        <v>0</v>
      </c>
      <c r="M39" s="155">
        <f>+K39+L39</f>
        <v>2450000</v>
      </c>
      <c r="N39" s="156"/>
      <c r="P39" s="34" t="s">
        <v>87</v>
      </c>
      <c r="Q39" s="38" t="s">
        <v>59</v>
      </c>
      <c r="R39" s="36">
        <v>1911000</v>
      </c>
      <c r="S39" s="37">
        <v>0</v>
      </c>
      <c r="T39" s="138">
        <f t="shared" ref="T39:T41" si="65">R39+S39</f>
        <v>1911000</v>
      </c>
      <c r="U39" s="139"/>
      <c r="W39" s="9" t="s">
        <v>87</v>
      </c>
      <c r="X39" s="13" t="s">
        <v>59</v>
      </c>
      <c r="Y39" s="11">
        <v>981000000</v>
      </c>
      <c r="Z39" s="12">
        <v>0</v>
      </c>
      <c r="AA39" s="114">
        <f>+Y39/1000</f>
        <v>981000</v>
      </c>
      <c r="AB39" s="115"/>
      <c r="AD39" s="9" t="s">
        <v>87</v>
      </c>
      <c r="AE39" s="13" t="s">
        <v>59</v>
      </c>
      <c r="AF39" s="11">
        <v>2005114.4187266408</v>
      </c>
      <c r="AG39" s="12">
        <v>0</v>
      </c>
      <c r="AH39" s="157">
        <f t="shared" ref="AH39:AH41" si="66">AF39+AG39</f>
        <v>2005114.4187266408</v>
      </c>
      <c r="AI39" s="158"/>
      <c r="AK39" s="9" t="s">
        <v>87</v>
      </c>
      <c r="AL39" s="13" t="s">
        <v>59</v>
      </c>
      <c r="AM39" s="11">
        <v>0</v>
      </c>
      <c r="AN39" s="12">
        <v>0</v>
      </c>
      <c r="AO39" s="151">
        <f>+AM39+AN39</f>
        <v>0</v>
      </c>
      <c r="AP39" s="152"/>
      <c r="AR39" s="54" t="s">
        <v>87</v>
      </c>
      <c r="AS39" s="58" t="s">
        <v>59</v>
      </c>
      <c r="AT39" s="56">
        <v>3092922</v>
      </c>
      <c r="AU39" s="57">
        <v>0</v>
      </c>
      <c r="AV39" s="93">
        <f t="shared" si="60"/>
        <v>3092922</v>
      </c>
      <c r="AW39" s="94"/>
      <c r="AY39" s="34" t="s">
        <v>87</v>
      </c>
      <c r="AZ39" s="38" t="s">
        <v>59</v>
      </c>
      <c r="BA39" s="36">
        <v>5950000</v>
      </c>
      <c r="BB39" s="37">
        <v>0</v>
      </c>
      <c r="BC39" s="138">
        <f t="shared" ref="BC39:BC41" si="67">BA39+BB39</f>
        <v>5950000</v>
      </c>
      <c r="BD39" s="139"/>
      <c r="BF39" s="54" t="s">
        <v>87</v>
      </c>
      <c r="BG39" s="58" t="s">
        <v>59</v>
      </c>
      <c r="BH39" s="56">
        <v>3205092.0555460379</v>
      </c>
      <c r="BI39" s="57">
        <v>0</v>
      </c>
      <c r="BJ39" s="93">
        <f t="shared" si="61"/>
        <v>3205092.0555460379</v>
      </c>
      <c r="BK39" s="94"/>
      <c r="BM39" s="9" t="s">
        <v>87</v>
      </c>
      <c r="BN39" s="13" t="s">
        <v>59</v>
      </c>
      <c r="BO39" s="11">
        <v>425300</v>
      </c>
      <c r="BP39" s="12">
        <v>0</v>
      </c>
      <c r="BQ39" s="108">
        <f t="shared" ref="BQ39:BQ41" si="68">BO39+BP39</f>
        <v>425300</v>
      </c>
      <c r="BR39" s="109"/>
      <c r="BT39" s="9" t="s">
        <v>87</v>
      </c>
      <c r="BU39" s="13" t="s">
        <v>59</v>
      </c>
      <c r="BV39" s="11">
        <v>2700000</v>
      </c>
      <c r="BW39" s="12">
        <v>0</v>
      </c>
      <c r="BX39" s="108">
        <f>BV39+BW39</f>
        <v>2700000</v>
      </c>
      <c r="BY39" s="109"/>
      <c r="CA39" s="54" t="s">
        <v>87</v>
      </c>
      <c r="CB39" s="58" t="s">
        <v>59</v>
      </c>
      <c r="CC39" s="56">
        <v>3000000</v>
      </c>
      <c r="CD39" s="57">
        <v>0</v>
      </c>
      <c r="CE39" s="93">
        <f t="shared" si="62"/>
        <v>3000000</v>
      </c>
      <c r="CF39" s="94"/>
      <c r="CH39" s="9" t="s">
        <v>87</v>
      </c>
      <c r="CI39" s="13" t="s">
        <v>59</v>
      </c>
      <c r="CJ39" s="11">
        <v>2200000</v>
      </c>
      <c r="CK39" s="12">
        <v>0</v>
      </c>
      <c r="CL39" s="108">
        <f t="shared" ref="CL39:CL41" si="69">CJ39+CK39</f>
        <v>2200000</v>
      </c>
      <c r="CM39" s="109"/>
      <c r="CO39" s="9" t="s">
        <v>87</v>
      </c>
      <c r="CP39" s="13" t="s">
        <v>59</v>
      </c>
      <c r="CQ39" s="11">
        <v>943888.88888888841</v>
      </c>
      <c r="CR39" s="12">
        <f>CQ39*0.19</f>
        <v>179338.88888888879</v>
      </c>
      <c r="CS39" s="108">
        <f t="shared" ref="CS39:CS41" si="70">CQ39+CR39</f>
        <v>1123227.7777777773</v>
      </c>
      <c r="CT39" s="109"/>
      <c r="CV39" s="9" t="s">
        <v>87</v>
      </c>
      <c r="CW39" s="13" t="s">
        <v>59</v>
      </c>
      <c r="CX39" s="72">
        <f>+MAX(F39,M39,T39,AA39,AH39,AV39,BC39,BJ39,BQ39,BX39,CE39,CL39,CS39)</f>
        <v>5950000</v>
      </c>
      <c r="CY39" s="72">
        <f>+MIN(F39,M39,T39,AA39,AH39,AV39,BC39,BJ39,BQ39,BX39,CE39,CL39,CS39)</f>
        <v>425300</v>
      </c>
      <c r="CZ39" s="72">
        <f>+AVERAGE(F39,M39,T39,AA39,AH39,AV39,BC39,BJ39,BQ39,BX39,CE39,CL39,CS39)</f>
        <v>2477985.8655423429</v>
      </c>
      <c r="DA39" s="72">
        <f>+TRIMMEAN((F39,M39,T39,AA39,AH39,AV39,BC39,BJ39,BQ39,BX39,CE39,CL39,CS39),(2/13))</f>
        <v>2348956.0229136776</v>
      </c>
      <c r="DB39" s="72">
        <f>+MEDIAN(F39,M39,T39,AA39,AH39,AV39,BC39,BJ39,BQ39,BX39,CE39,CL39,CS39)</f>
        <v>2450000</v>
      </c>
      <c r="DC39" s="86" t="str">
        <f>IFERROR(MODE(F39,M39,T39,AA39,AH39,AV39,BC39,BJ39,BQ39,BX39,CE39,CL39,CS39),"N/A")</f>
        <v>N/A</v>
      </c>
      <c r="DD39" s="88">
        <f>+STDEV(F39,M39,T39,AA39,AH39,AV39,BC39,BJ39,BQ39,BX39,CE39,CL39,CS39)/CZ39</f>
        <v>0.55474060721596796</v>
      </c>
      <c r="DE39" t="s">
        <v>176</v>
      </c>
      <c r="DF39" t="s">
        <v>192</v>
      </c>
    </row>
    <row r="40" spans="1:110" ht="19" thickBot="1" x14ac:dyDescent="0.25">
      <c r="A40" s="24" t="s">
        <v>60</v>
      </c>
      <c r="B40" s="9" t="s">
        <v>88</v>
      </c>
      <c r="C40" s="13" t="s">
        <v>62</v>
      </c>
      <c r="D40" s="11">
        <v>2239000</v>
      </c>
      <c r="E40" s="12">
        <f t="shared" si="63"/>
        <v>425410</v>
      </c>
      <c r="F40" s="108">
        <f t="shared" si="64"/>
        <v>2664410</v>
      </c>
      <c r="G40" s="109"/>
      <c r="I40" s="9" t="s">
        <v>88</v>
      </c>
      <c r="J40" s="13" t="s">
        <v>62</v>
      </c>
      <c r="K40" s="11">
        <v>2350000</v>
      </c>
      <c r="L40" s="12">
        <v>0</v>
      </c>
      <c r="M40" s="155">
        <f>+K40+L40</f>
        <v>2350000</v>
      </c>
      <c r="N40" s="156"/>
      <c r="P40" s="34" t="s">
        <v>88</v>
      </c>
      <c r="Q40" s="38" t="s">
        <v>62</v>
      </c>
      <c r="R40" s="36">
        <v>1872780</v>
      </c>
      <c r="S40" s="37">
        <v>0</v>
      </c>
      <c r="T40" s="138">
        <f t="shared" si="65"/>
        <v>1872780</v>
      </c>
      <c r="U40" s="139"/>
      <c r="W40" s="9" t="s">
        <v>88</v>
      </c>
      <c r="X40" s="13" t="s">
        <v>62</v>
      </c>
      <c r="Y40" s="11">
        <v>1018600000</v>
      </c>
      <c r="Z40" s="12">
        <v>0</v>
      </c>
      <c r="AA40" s="114">
        <f>+Y40/1500</f>
        <v>679066.66666666663</v>
      </c>
      <c r="AB40" s="115"/>
      <c r="AD40" s="9" t="s">
        <v>88</v>
      </c>
      <c r="AE40" s="13" t="s">
        <v>62</v>
      </c>
      <c r="AF40" s="11">
        <v>1985456.4342293208</v>
      </c>
      <c r="AG40" s="12">
        <v>0</v>
      </c>
      <c r="AH40" s="157">
        <f t="shared" si="66"/>
        <v>1985456.4342293208</v>
      </c>
      <c r="AI40" s="158"/>
      <c r="AK40" s="9" t="s">
        <v>88</v>
      </c>
      <c r="AL40" s="13" t="s">
        <v>62</v>
      </c>
      <c r="AM40" s="11">
        <v>0</v>
      </c>
      <c r="AN40" s="12">
        <v>0</v>
      </c>
      <c r="AO40" s="151">
        <f t="shared" ref="AO40:AO41" si="71">AM40+AN40</f>
        <v>0</v>
      </c>
      <c r="AP40" s="152"/>
      <c r="AR40" s="54" t="s">
        <v>88</v>
      </c>
      <c r="AS40" s="58" t="s">
        <v>62</v>
      </c>
      <c r="AT40" s="56">
        <v>3047181</v>
      </c>
      <c r="AU40" s="57">
        <v>0</v>
      </c>
      <c r="AV40" s="93">
        <f t="shared" si="60"/>
        <v>3047181</v>
      </c>
      <c r="AW40" s="94"/>
      <c r="AY40" s="34" t="s">
        <v>88</v>
      </c>
      <c r="AZ40" s="38" t="s">
        <v>62</v>
      </c>
      <c r="BA40" s="36">
        <v>5760000</v>
      </c>
      <c r="BB40" s="37">
        <v>0</v>
      </c>
      <c r="BC40" s="138">
        <f t="shared" si="67"/>
        <v>5760000</v>
      </c>
      <c r="BD40" s="139"/>
      <c r="BF40" s="54" t="s">
        <v>88</v>
      </c>
      <c r="BG40" s="58" t="s">
        <v>62</v>
      </c>
      <c r="BH40" s="56">
        <v>3157696.3877078411</v>
      </c>
      <c r="BI40" s="57">
        <v>0</v>
      </c>
      <c r="BJ40" s="93">
        <f t="shared" si="61"/>
        <v>3157696.3877078411</v>
      </c>
      <c r="BK40" s="94"/>
      <c r="BM40" s="9" t="s">
        <v>88</v>
      </c>
      <c r="BN40" s="13" t="s">
        <v>62</v>
      </c>
      <c r="BO40" s="11">
        <v>408600</v>
      </c>
      <c r="BP40" s="12">
        <v>0</v>
      </c>
      <c r="BQ40" s="108">
        <f t="shared" si="68"/>
        <v>408600</v>
      </c>
      <c r="BR40" s="109"/>
      <c r="BT40" s="9" t="s">
        <v>88</v>
      </c>
      <c r="BU40" s="13" t="s">
        <v>62</v>
      </c>
      <c r="BV40" s="11">
        <v>2520000</v>
      </c>
      <c r="BW40" s="12">
        <v>0</v>
      </c>
      <c r="BX40" s="108">
        <f>BV40+BW40</f>
        <v>2520000</v>
      </c>
      <c r="BY40" s="109"/>
      <c r="CA40" s="54" t="s">
        <v>88</v>
      </c>
      <c r="CB40" s="58" t="s">
        <v>62</v>
      </c>
      <c r="CC40" s="56">
        <v>3000000</v>
      </c>
      <c r="CD40" s="57">
        <v>0</v>
      </c>
      <c r="CE40" s="93">
        <f t="shared" si="62"/>
        <v>3000000</v>
      </c>
      <c r="CF40" s="94"/>
      <c r="CH40" s="9" t="s">
        <v>88</v>
      </c>
      <c r="CI40" s="13" t="s">
        <v>62</v>
      </c>
      <c r="CJ40" s="11">
        <v>2000000</v>
      </c>
      <c r="CK40" s="12">
        <v>0</v>
      </c>
      <c r="CL40" s="108">
        <f t="shared" si="69"/>
        <v>2000000</v>
      </c>
      <c r="CM40" s="109"/>
      <c r="CO40" s="9" t="s">
        <v>88</v>
      </c>
      <c r="CP40" s="13" t="s">
        <v>62</v>
      </c>
      <c r="CQ40" s="11">
        <v>943888.88888888841</v>
      </c>
      <c r="CR40" s="12">
        <f>CQ40*0.19</f>
        <v>179338.88888888879</v>
      </c>
      <c r="CS40" s="108">
        <f t="shared" si="70"/>
        <v>1123227.7777777773</v>
      </c>
      <c r="CT40" s="109"/>
      <c r="CV40" s="9" t="s">
        <v>88</v>
      </c>
      <c r="CW40" s="13" t="s">
        <v>62</v>
      </c>
      <c r="CX40" s="72">
        <f>+MAX(F40,M40,T40,AA40,AH40,AV40,BC40,BJ40,BQ40,BX40,CE40,CL40,CS40)</f>
        <v>5760000</v>
      </c>
      <c r="CY40" s="72">
        <f>+MIN(F40,M40,T40,AA40,AH40,AV40,BC40,BJ40,BQ40,BX40,CE40,CL40,CS40)</f>
        <v>408600</v>
      </c>
      <c r="CZ40" s="72">
        <f>+AVERAGE(F40,M40,T40,AA40,AH40,AV40,BC40,BJ40,BQ40,BX40,CE40,CL40,CS40)</f>
        <v>2351416.7897216617</v>
      </c>
      <c r="DA40" s="72">
        <f>+TRIMMEAN((F40,M40,T40,AA40,AH40,AV40,BC40,BJ40,BQ40,BX40,CE40,CL40,CS40),(2/13))</f>
        <v>2218165.2969437824</v>
      </c>
      <c r="DB40" s="72">
        <f>+MEDIAN(F40,M40,T40,AA40,AH40,AV40,BC40,BJ40,BQ40,BX40,CE40,CL40,CS40)</f>
        <v>2350000</v>
      </c>
      <c r="DC40" s="86" t="str">
        <f>IFERROR(MODE(F40,M40,T40,AA40,AH40,AV40,BC40,BJ40,BQ40,BX40,CE40,CL40,CS40),"N/A")</f>
        <v>N/A</v>
      </c>
      <c r="DD40" s="88">
        <f>+STDEV(F40,M40,T40,AA40,AH40,AV40,BC40,BJ40,BQ40,BX40,CE40,CL40,CS40)/CZ40</f>
        <v>0.57406833895314391</v>
      </c>
      <c r="DE40" t="s">
        <v>176</v>
      </c>
      <c r="DF40" t="s">
        <v>192</v>
      </c>
    </row>
    <row r="41" spans="1:110" ht="19" thickBot="1" x14ac:dyDescent="0.25">
      <c r="A41" s="25" t="s">
        <v>63</v>
      </c>
      <c r="B41" s="26" t="s">
        <v>89</v>
      </c>
      <c r="C41" s="14" t="s">
        <v>65</v>
      </c>
      <c r="D41" s="11">
        <v>2128000</v>
      </c>
      <c r="E41" s="12">
        <f t="shared" si="63"/>
        <v>404320</v>
      </c>
      <c r="F41" s="110">
        <f t="shared" si="64"/>
        <v>2532320</v>
      </c>
      <c r="G41" s="111"/>
      <c r="I41" s="26" t="s">
        <v>89</v>
      </c>
      <c r="J41" s="14" t="s">
        <v>65</v>
      </c>
      <c r="K41" s="11">
        <v>2320000</v>
      </c>
      <c r="L41" s="27">
        <v>0</v>
      </c>
      <c r="M41" s="155">
        <f>+K41+L41</f>
        <v>2320000</v>
      </c>
      <c r="N41" s="156"/>
      <c r="P41" s="48" t="s">
        <v>89</v>
      </c>
      <c r="Q41" s="49" t="s">
        <v>65</v>
      </c>
      <c r="R41" s="50">
        <v>1835324</v>
      </c>
      <c r="S41" s="51">
        <v>0</v>
      </c>
      <c r="T41" s="140">
        <f t="shared" si="65"/>
        <v>1835324</v>
      </c>
      <c r="U41" s="141"/>
      <c r="W41" s="26" t="s">
        <v>89</v>
      </c>
      <c r="X41" s="14" t="s">
        <v>65</v>
      </c>
      <c r="Y41" s="11">
        <v>1018600000</v>
      </c>
      <c r="Z41" s="27">
        <v>0</v>
      </c>
      <c r="AA41" s="114">
        <f>+Y41/1501</f>
        <v>678614.25716189202</v>
      </c>
      <c r="AB41" s="115"/>
      <c r="AD41" s="26" t="s">
        <v>89</v>
      </c>
      <c r="AE41" s="14" t="s">
        <v>65</v>
      </c>
      <c r="AF41" s="33">
        <v>1966180.1581688419</v>
      </c>
      <c r="AG41" s="27">
        <v>0</v>
      </c>
      <c r="AH41" s="153">
        <f t="shared" si="66"/>
        <v>1966180.1581688419</v>
      </c>
      <c r="AI41" s="154"/>
      <c r="AK41" s="26" t="s">
        <v>89</v>
      </c>
      <c r="AL41" s="14" t="s">
        <v>65</v>
      </c>
      <c r="AM41" s="33">
        <v>0</v>
      </c>
      <c r="AN41" s="27">
        <v>0</v>
      </c>
      <c r="AO41" s="151">
        <f t="shared" si="71"/>
        <v>0</v>
      </c>
      <c r="AP41" s="152"/>
      <c r="AR41" s="62" t="s">
        <v>89</v>
      </c>
      <c r="AS41" s="63" t="s">
        <v>65</v>
      </c>
      <c r="AT41" s="56">
        <v>2991211</v>
      </c>
      <c r="AU41" s="64">
        <v>0</v>
      </c>
      <c r="AV41" s="133">
        <f t="shared" si="60"/>
        <v>2991211</v>
      </c>
      <c r="AW41" s="134"/>
      <c r="AY41" s="34" t="s">
        <v>89</v>
      </c>
      <c r="AZ41" s="38" t="s">
        <v>65</v>
      </c>
      <c r="BA41" s="36">
        <v>5700000</v>
      </c>
      <c r="BB41" s="37">
        <v>0</v>
      </c>
      <c r="BC41" s="138">
        <f t="shared" si="67"/>
        <v>5700000</v>
      </c>
      <c r="BD41" s="139"/>
      <c r="BF41" s="62" t="s">
        <v>89</v>
      </c>
      <c r="BG41" s="63" t="s">
        <v>65</v>
      </c>
      <c r="BH41" s="56">
        <v>3099612.1588203181</v>
      </c>
      <c r="BI41" s="64">
        <v>0</v>
      </c>
      <c r="BJ41" s="133">
        <f t="shared" si="61"/>
        <v>3099612.1588203181</v>
      </c>
      <c r="BK41" s="134"/>
      <c r="BM41" s="26" t="s">
        <v>89</v>
      </c>
      <c r="BN41" s="14" t="s">
        <v>65</v>
      </c>
      <c r="BO41" s="33">
        <v>0</v>
      </c>
      <c r="BP41" s="27">
        <v>0</v>
      </c>
      <c r="BQ41" s="135">
        <f t="shared" si="68"/>
        <v>0</v>
      </c>
      <c r="BR41" s="136"/>
      <c r="BT41" s="26" t="s">
        <v>89</v>
      </c>
      <c r="BU41" s="14" t="s">
        <v>65</v>
      </c>
      <c r="BV41" s="11">
        <v>2400000</v>
      </c>
      <c r="BW41" s="27">
        <v>0</v>
      </c>
      <c r="BX41" s="110">
        <f>BV41+BW41</f>
        <v>2400000</v>
      </c>
      <c r="BY41" s="111"/>
      <c r="CA41" s="62" t="s">
        <v>89</v>
      </c>
      <c r="CB41" s="83" t="s">
        <v>65</v>
      </c>
      <c r="CC41" s="84">
        <v>3000000</v>
      </c>
      <c r="CD41" s="64">
        <v>0</v>
      </c>
      <c r="CE41" s="133">
        <f t="shared" si="62"/>
        <v>3000000</v>
      </c>
      <c r="CF41" s="134"/>
      <c r="CH41" s="26" t="s">
        <v>89</v>
      </c>
      <c r="CI41" s="14" t="s">
        <v>65</v>
      </c>
      <c r="CJ41" s="11">
        <v>2000000</v>
      </c>
      <c r="CK41" s="27">
        <v>0</v>
      </c>
      <c r="CL41" s="110">
        <f t="shared" si="69"/>
        <v>2000000</v>
      </c>
      <c r="CM41" s="111"/>
      <c r="CO41" s="26" t="s">
        <v>89</v>
      </c>
      <c r="CP41" s="14" t="s">
        <v>65</v>
      </c>
      <c r="CQ41" s="11">
        <v>913888.88888888841</v>
      </c>
      <c r="CR41" s="12">
        <f>CQ41*0.19</f>
        <v>173638.88888888879</v>
      </c>
      <c r="CS41" s="110">
        <f t="shared" si="70"/>
        <v>1087527.7777777773</v>
      </c>
      <c r="CT41" s="111"/>
      <c r="CV41" s="26" t="s">
        <v>89</v>
      </c>
      <c r="CW41" s="14" t="s">
        <v>65</v>
      </c>
      <c r="CX41" s="72">
        <f>+MAX(F41,M41,T41,AA41,AH41,AV41,BC41,BJ41,BX41,CE41,CL41,CS41)</f>
        <v>5700000</v>
      </c>
      <c r="CY41" s="72">
        <f>+MIN(F41,M41,T41,AA41,AH41,AV41,BC41,BJ41,BX41,CE41,CL41,CS41)</f>
        <v>678614.25716189202</v>
      </c>
      <c r="CZ41" s="72">
        <f>+AVERAGE(F41,M41,T41,AA41,AH41,AV41,BC41,BJ41,BX41,CE41,CL41,CS41)</f>
        <v>2467565.7793274024</v>
      </c>
      <c r="DA41" s="72">
        <f>+TRIMMEAN((F41,M41,T41,AA41,AH41,AV41,BC41,BJ41,BX41,CE41,CL41,CS41),(2/12))</f>
        <v>2323217.5094766938</v>
      </c>
      <c r="DB41" s="72">
        <f>+MEDIAN(F41,M41,T41,AA41,AH41,AV41,BC41,BJ41,BX41,CE41,CL41,CS41)</f>
        <v>2360000</v>
      </c>
      <c r="DC41" s="86" t="str">
        <f>IFERROR(MODE(F41,M41,T41,AA41,AH41,AV41,BC41,BJ41,BX41,CE41,CL41,CS41),"N/A")</f>
        <v>N/A</v>
      </c>
      <c r="DD41" s="88">
        <f>+STDEV(F41,M41,T41,AA41,AH41,AV41,BC41,BJ41,BX41,CE41,CL41,CS41)/CZ41</f>
        <v>0.50985401837032551</v>
      </c>
      <c r="DE41" t="s">
        <v>176</v>
      </c>
      <c r="DF41" t="s">
        <v>192</v>
      </c>
    </row>
    <row r="42" spans="1:110" ht="17" customHeight="1" x14ac:dyDescent="0.2"/>
    <row r="44" spans="1:110" x14ac:dyDescent="0.2">
      <c r="DC44" t="s">
        <v>289</v>
      </c>
      <c r="DD44" s="90">
        <f>+MIN(DD8:DD41)</f>
        <v>0.50985401837032551</v>
      </c>
    </row>
    <row r="45" spans="1:110" x14ac:dyDescent="0.2">
      <c r="DC45" t="s">
        <v>290</v>
      </c>
      <c r="DD45" s="90">
        <f>+MAX(DD8:DD41)</f>
        <v>0.61397844789585965</v>
      </c>
    </row>
  </sheetData>
  <sheetProtection algorithmName="SHA-512" hashValue="MgWmeFpBe0m9RKQw0Rjws7RTuF7M+vFaDenp1ug/IZfF2Cbf79T/OUSTm62Gn0KCoEw6oFupyrdJwzXG3wiMgg==" saltValue="heveA46HfeVX4JVvtUn95Q==" spinCount="100000" sheet="1" formatCells="0" formatColumns="0" formatRows="0" insertColumns="0" insertRows="0" insertHyperlinks="0" deleteColumns="0" deleteRows="0" sort="0" autoFilter="0" pivotTables="0"/>
  <mergeCells count="536">
    <mergeCell ref="CS33:CT33"/>
    <mergeCell ref="CS34:CT34"/>
    <mergeCell ref="CS35:CT35"/>
    <mergeCell ref="CO36:CR36"/>
    <mergeCell ref="CS37:CT37"/>
    <mergeCell ref="CS38:CT38"/>
    <mergeCell ref="CS39:CT39"/>
    <mergeCell ref="CS40:CT40"/>
    <mergeCell ref="CS41:CT41"/>
    <mergeCell ref="CO24:CR24"/>
    <mergeCell ref="CS25:CT25"/>
    <mergeCell ref="CS26:CT26"/>
    <mergeCell ref="CS27:CT27"/>
    <mergeCell ref="CS28:CT28"/>
    <mergeCell ref="CS29:CT29"/>
    <mergeCell ref="CO30:CR30"/>
    <mergeCell ref="CS31:CT31"/>
    <mergeCell ref="CS32:CT32"/>
    <mergeCell ref="CL39:CM39"/>
    <mergeCell ref="CL40:CM40"/>
    <mergeCell ref="CL41:CM41"/>
    <mergeCell ref="CO1:CS1"/>
    <mergeCell ref="CO2:CS2"/>
    <mergeCell ref="CO3:CS3"/>
    <mergeCell ref="CO6:CR6"/>
    <mergeCell ref="CS7:CT7"/>
    <mergeCell ref="CS8:CT8"/>
    <mergeCell ref="CS9:CT9"/>
    <mergeCell ref="CS10:CT10"/>
    <mergeCell ref="CS11:CT11"/>
    <mergeCell ref="CO12:CR12"/>
    <mergeCell ref="CS13:CT13"/>
    <mergeCell ref="CS14:CT14"/>
    <mergeCell ref="CS15:CT15"/>
    <mergeCell ref="CS16:CT16"/>
    <mergeCell ref="CS17:CT17"/>
    <mergeCell ref="CO18:CR18"/>
    <mergeCell ref="CS19:CT19"/>
    <mergeCell ref="CS20:CT20"/>
    <mergeCell ref="CS21:CT21"/>
    <mergeCell ref="CS22:CT22"/>
    <mergeCell ref="CS23:CT23"/>
    <mergeCell ref="CH30:CK30"/>
    <mergeCell ref="CL31:CM31"/>
    <mergeCell ref="CL32:CM32"/>
    <mergeCell ref="CL33:CM33"/>
    <mergeCell ref="CL34:CM34"/>
    <mergeCell ref="CL35:CM35"/>
    <mergeCell ref="CH36:CK36"/>
    <mergeCell ref="CL37:CM37"/>
    <mergeCell ref="CL38:CM38"/>
    <mergeCell ref="CL21:CM21"/>
    <mergeCell ref="CL22:CM22"/>
    <mergeCell ref="CL23:CM23"/>
    <mergeCell ref="CH24:CK24"/>
    <mergeCell ref="CL25:CM25"/>
    <mergeCell ref="CL26:CM26"/>
    <mergeCell ref="CL27:CM27"/>
    <mergeCell ref="CL28:CM28"/>
    <mergeCell ref="CL29:CM29"/>
    <mergeCell ref="CH12:CK12"/>
    <mergeCell ref="CL13:CM13"/>
    <mergeCell ref="CL14:CM14"/>
    <mergeCell ref="CL15:CM15"/>
    <mergeCell ref="CL16:CM16"/>
    <mergeCell ref="CL17:CM17"/>
    <mergeCell ref="CH18:CK18"/>
    <mergeCell ref="CL19:CM19"/>
    <mergeCell ref="CL20:CM20"/>
    <mergeCell ref="CH1:CL1"/>
    <mergeCell ref="CH2:CL2"/>
    <mergeCell ref="CH3:CL3"/>
    <mergeCell ref="CH6:CK6"/>
    <mergeCell ref="CL7:CM7"/>
    <mergeCell ref="CL8:CM8"/>
    <mergeCell ref="CL9:CM9"/>
    <mergeCell ref="CL10:CM10"/>
    <mergeCell ref="CL11:CM11"/>
    <mergeCell ref="B18:E18"/>
    <mergeCell ref="F19:G19"/>
    <mergeCell ref="F8:G8"/>
    <mergeCell ref="F9:G9"/>
    <mergeCell ref="F10:G10"/>
    <mergeCell ref="F11:G11"/>
    <mergeCell ref="B12:E12"/>
    <mergeCell ref="F13:G13"/>
    <mergeCell ref="B1:G1"/>
    <mergeCell ref="B2:G2"/>
    <mergeCell ref="B3:G3"/>
    <mergeCell ref="A5:G5"/>
    <mergeCell ref="B6:E6"/>
    <mergeCell ref="F7:G7"/>
    <mergeCell ref="B36:E36"/>
    <mergeCell ref="F37:G37"/>
    <mergeCell ref="F26:G26"/>
    <mergeCell ref="F27:G27"/>
    <mergeCell ref="F28:G28"/>
    <mergeCell ref="F29:G29"/>
    <mergeCell ref="B30:E30"/>
    <mergeCell ref="F31:G31"/>
    <mergeCell ref="F20:G20"/>
    <mergeCell ref="F21:G21"/>
    <mergeCell ref="F22:G22"/>
    <mergeCell ref="F23:G23"/>
    <mergeCell ref="B24:E24"/>
    <mergeCell ref="F25:G25"/>
    <mergeCell ref="F39:G39"/>
    <mergeCell ref="F40:G40"/>
    <mergeCell ref="F41:G41"/>
    <mergeCell ref="I1:N1"/>
    <mergeCell ref="I2:N2"/>
    <mergeCell ref="I3:N3"/>
    <mergeCell ref="M8:N8"/>
    <mergeCell ref="M9:N9"/>
    <mergeCell ref="F32:G32"/>
    <mergeCell ref="F33:G33"/>
    <mergeCell ref="F34:G34"/>
    <mergeCell ref="F35:G35"/>
    <mergeCell ref="F14:G14"/>
    <mergeCell ref="F15:G15"/>
    <mergeCell ref="F16:G16"/>
    <mergeCell ref="F17:G17"/>
    <mergeCell ref="M16:N16"/>
    <mergeCell ref="M17:N17"/>
    <mergeCell ref="M20:N20"/>
    <mergeCell ref="M21:N21"/>
    <mergeCell ref="M10:N10"/>
    <mergeCell ref="M11:N11"/>
    <mergeCell ref="M14:N14"/>
    <mergeCell ref="M15:N15"/>
    <mergeCell ref="F38:G38"/>
    <mergeCell ref="P12:S12"/>
    <mergeCell ref="T13:U13"/>
    <mergeCell ref="T14:U14"/>
    <mergeCell ref="M40:N40"/>
    <mergeCell ref="M41:N41"/>
    <mergeCell ref="I6:L6"/>
    <mergeCell ref="P1:T1"/>
    <mergeCell ref="P2:T2"/>
    <mergeCell ref="P3:T3"/>
    <mergeCell ref="P6:S6"/>
    <mergeCell ref="T7:U7"/>
    <mergeCell ref="T8:U8"/>
    <mergeCell ref="M34:N34"/>
    <mergeCell ref="M35:N35"/>
    <mergeCell ref="M38:N38"/>
    <mergeCell ref="M39:N39"/>
    <mergeCell ref="M28:N28"/>
    <mergeCell ref="M29:N29"/>
    <mergeCell ref="M32:N32"/>
    <mergeCell ref="M33:N33"/>
    <mergeCell ref="M22:N22"/>
    <mergeCell ref="M23:N23"/>
    <mergeCell ref="M26:N26"/>
    <mergeCell ref="M27:N27"/>
    <mergeCell ref="P24:S24"/>
    <mergeCell ref="T25:U25"/>
    <mergeCell ref="T26:U26"/>
    <mergeCell ref="T15:U15"/>
    <mergeCell ref="T16:U16"/>
    <mergeCell ref="T17:U17"/>
    <mergeCell ref="P18:S18"/>
    <mergeCell ref="T19:U19"/>
    <mergeCell ref="T20:U20"/>
    <mergeCell ref="P36:S36"/>
    <mergeCell ref="T37:U37"/>
    <mergeCell ref="T38:U38"/>
    <mergeCell ref="T27:U27"/>
    <mergeCell ref="T28:U28"/>
    <mergeCell ref="T29:U29"/>
    <mergeCell ref="P30:S30"/>
    <mergeCell ref="T31:U31"/>
    <mergeCell ref="T32:U32"/>
    <mergeCell ref="W12:Z12"/>
    <mergeCell ref="AA13:AB13"/>
    <mergeCell ref="AA14:AB14"/>
    <mergeCell ref="AA15:AB15"/>
    <mergeCell ref="T39:U39"/>
    <mergeCell ref="T40:U40"/>
    <mergeCell ref="T41:U41"/>
    <mergeCell ref="W1:AA1"/>
    <mergeCell ref="W2:AA2"/>
    <mergeCell ref="W3:AA3"/>
    <mergeCell ref="W6:Z6"/>
    <mergeCell ref="AA7:AB7"/>
    <mergeCell ref="AA8:AB8"/>
    <mergeCell ref="AA9:AB9"/>
    <mergeCell ref="T33:U33"/>
    <mergeCell ref="T34:U34"/>
    <mergeCell ref="T35:U35"/>
    <mergeCell ref="T21:U21"/>
    <mergeCell ref="T22:U22"/>
    <mergeCell ref="T23:U23"/>
    <mergeCell ref="T9:U9"/>
    <mergeCell ref="T10:U10"/>
    <mergeCell ref="T11:U11"/>
    <mergeCell ref="W24:Z24"/>
    <mergeCell ref="AA25:AB25"/>
    <mergeCell ref="AA26:AB26"/>
    <mergeCell ref="AA27:AB27"/>
    <mergeCell ref="AA16:AB16"/>
    <mergeCell ref="AA17:AB17"/>
    <mergeCell ref="W18:Z18"/>
    <mergeCell ref="AA19:AB19"/>
    <mergeCell ref="AA20:AB20"/>
    <mergeCell ref="AA21:AB21"/>
    <mergeCell ref="W36:Z36"/>
    <mergeCell ref="AA37:AB37"/>
    <mergeCell ref="AA38:AB38"/>
    <mergeCell ref="AA39:AB39"/>
    <mergeCell ref="AA28:AB28"/>
    <mergeCell ref="AA29:AB29"/>
    <mergeCell ref="W30:Z30"/>
    <mergeCell ref="AA31:AB31"/>
    <mergeCell ref="AA32:AB32"/>
    <mergeCell ref="AA33:AB33"/>
    <mergeCell ref="AD12:AG12"/>
    <mergeCell ref="AH13:AI13"/>
    <mergeCell ref="AH14:AI14"/>
    <mergeCell ref="AH15:AI15"/>
    <mergeCell ref="AH16:AI16"/>
    <mergeCell ref="AA40:AB40"/>
    <mergeCell ref="AA41:AB41"/>
    <mergeCell ref="AD1:AH1"/>
    <mergeCell ref="AD2:AH2"/>
    <mergeCell ref="AD3:AH3"/>
    <mergeCell ref="AD6:AG6"/>
    <mergeCell ref="AH7:AI7"/>
    <mergeCell ref="AH8:AI8"/>
    <mergeCell ref="AH9:AI9"/>
    <mergeCell ref="AH10:AI10"/>
    <mergeCell ref="AA34:AB34"/>
    <mergeCell ref="AA35:AB35"/>
    <mergeCell ref="AA22:AB22"/>
    <mergeCell ref="AA23:AB23"/>
    <mergeCell ref="AA10:AB10"/>
    <mergeCell ref="AA11:AB11"/>
    <mergeCell ref="AD24:AG24"/>
    <mergeCell ref="AH25:AI25"/>
    <mergeCell ref="AH26:AI26"/>
    <mergeCell ref="AH27:AI27"/>
    <mergeCell ref="AH28:AI28"/>
    <mergeCell ref="AH17:AI17"/>
    <mergeCell ref="AD18:AG18"/>
    <mergeCell ref="AH19:AI19"/>
    <mergeCell ref="AH20:AI20"/>
    <mergeCell ref="AH21:AI21"/>
    <mergeCell ref="AH22:AI22"/>
    <mergeCell ref="AD36:AG36"/>
    <mergeCell ref="AH37:AI37"/>
    <mergeCell ref="AH38:AI38"/>
    <mergeCell ref="AH39:AI39"/>
    <mergeCell ref="AH40:AI40"/>
    <mergeCell ref="AH29:AI29"/>
    <mergeCell ref="AD30:AG30"/>
    <mergeCell ref="AH31:AI31"/>
    <mergeCell ref="AH32:AI32"/>
    <mergeCell ref="AH33:AI33"/>
    <mergeCell ref="AH34:AI34"/>
    <mergeCell ref="AK12:AN12"/>
    <mergeCell ref="AO13:AP13"/>
    <mergeCell ref="AO14:AP14"/>
    <mergeCell ref="AO15:AP15"/>
    <mergeCell ref="AO16:AP16"/>
    <mergeCell ref="AO17:AP17"/>
    <mergeCell ref="AH41:AI41"/>
    <mergeCell ref="AK1:AO1"/>
    <mergeCell ref="AK2:AO2"/>
    <mergeCell ref="AK3:AO3"/>
    <mergeCell ref="AK6:AN6"/>
    <mergeCell ref="AO7:AP7"/>
    <mergeCell ref="AO8:AP8"/>
    <mergeCell ref="AO9:AP9"/>
    <mergeCell ref="AO10:AP10"/>
    <mergeCell ref="AO11:AP11"/>
    <mergeCell ref="AH35:AI35"/>
    <mergeCell ref="AH23:AI23"/>
    <mergeCell ref="AH11:AI11"/>
    <mergeCell ref="AK24:AN24"/>
    <mergeCell ref="AO25:AP25"/>
    <mergeCell ref="AO26:AP26"/>
    <mergeCell ref="AO27:AP27"/>
    <mergeCell ref="AO28:AP28"/>
    <mergeCell ref="AO29:AP29"/>
    <mergeCell ref="AK18:AN18"/>
    <mergeCell ref="AO19:AP19"/>
    <mergeCell ref="AO20:AP20"/>
    <mergeCell ref="AO21:AP21"/>
    <mergeCell ref="AO22:AP22"/>
    <mergeCell ref="AO23:AP23"/>
    <mergeCell ref="AK36:AN36"/>
    <mergeCell ref="AO37:AP37"/>
    <mergeCell ref="AO38:AP38"/>
    <mergeCell ref="AO39:AP39"/>
    <mergeCell ref="AO40:AP40"/>
    <mergeCell ref="AO41:AP41"/>
    <mergeCell ref="AK30:AN30"/>
    <mergeCell ref="AO31:AP31"/>
    <mergeCell ref="AO32:AP32"/>
    <mergeCell ref="AO33:AP33"/>
    <mergeCell ref="AO34:AP34"/>
    <mergeCell ref="AO35:AP35"/>
    <mergeCell ref="AR12:AU12"/>
    <mergeCell ref="AV13:AW13"/>
    <mergeCell ref="AV14:AW14"/>
    <mergeCell ref="AR1:AV1"/>
    <mergeCell ref="AR2:AV2"/>
    <mergeCell ref="AR3:AV3"/>
    <mergeCell ref="AR6:AU6"/>
    <mergeCell ref="AV7:AW7"/>
    <mergeCell ref="AV8:AW8"/>
    <mergeCell ref="AR24:AU24"/>
    <mergeCell ref="AV25:AW25"/>
    <mergeCell ref="AV26:AW26"/>
    <mergeCell ref="AV15:AW15"/>
    <mergeCell ref="AV16:AW16"/>
    <mergeCell ref="AV17:AW17"/>
    <mergeCell ref="AR18:AU18"/>
    <mergeCell ref="AV19:AW19"/>
    <mergeCell ref="AV20:AW20"/>
    <mergeCell ref="AR36:AU36"/>
    <mergeCell ref="AV37:AW37"/>
    <mergeCell ref="AV38:AW38"/>
    <mergeCell ref="AV27:AW27"/>
    <mergeCell ref="AV28:AW28"/>
    <mergeCell ref="AV29:AW29"/>
    <mergeCell ref="AR30:AU30"/>
    <mergeCell ref="AV31:AW31"/>
    <mergeCell ref="AV32:AW32"/>
    <mergeCell ref="AY12:BB12"/>
    <mergeCell ref="BC13:BD13"/>
    <mergeCell ref="BC14:BD14"/>
    <mergeCell ref="BC15:BD15"/>
    <mergeCell ref="AV39:AW39"/>
    <mergeCell ref="AV40:AW40"/>
    <mergeCell ref="AV41:AW41"/>
    <mergeCell ref="AY1:BC1"/>
    <mergeCell ref="AY2:BC2"/>
    <mergeCell ref="AY3:BC3"/>
    <mergeCell ref="AY6:BB6"/>
    <mergeCell ref="BC7:BD7"/>
    <mergeCell ref="BC8:BD8"/>
    <mergeCell ref="BC9:BD9"/>
    <mergeCell ref="AV33:AW33"/>
    <mergeCell ref="AV34:AW34"/>
    <mergeCell ref="AV35:AW35"/>
    <mergeCell ref="AV21:AW21"/>
    <mergeCell ref="AV22:AW22"/>
    <mergeCell ref="AV23:AW23"/>
    <mergeCell ref="AV9:AW9"/>
    <mergeCell ref="AV10:AW10"/>
    <mergeCell ref="AV11:AW11"/>
    <mergeCell ref="AY24:BB24"/>
    <mergeCell ref="BC25:BD25"/>
    <mergeCell ref="BC26:BD26"/>
    <mergeCell ref="BC27:BD27"/>
    <mergeCell ref="BC16:BD16"/>
    <mergeCell ref="BC17:BD17"/>
    <mergeCell ref="AY18:BB18"/>
    <mergeCell ref="BC19:BD19"/>
    <mergeCell ref="BC20:BD20"/>
    <mergeCell ref="BC21:BD21"/>
    <mergeCell ref="AY36:BB36"/>
    <mergeCell ref="BC37:BD37"/>
    <mergeCell ref="BC38:BD38"/>
    <mergeCell ref="BC39:BD39"/>
    <mergeCell ref="BC28:BD28"/>
    <mergeCell ref="BC29:BD29"/>
    <mergeCell ref="AY30:BB30"/>
    <mergeCell ref="BC31:BD31"/>
    <mergeCell ref="BC32:BD32"/>
    <mergeCell ref="BC33:BD33"/>
    <mergeCell ref="BF12:BI12"/>
    <mergeCell ref="BJ13:BK13"/>
    <mergeCell ref="BJ14:BK14"/>
    <mergeCell ref="BJ15:BK15"/>
    <mergeCell ref="BJ16:BK16"/>
    <mergeCell ref="BC40:BD40"/>
    <mergeCell ref="BC41:BD41"/>
    <mergeCell ref="BF1:BJ1"/>
    <mergeCell ref="BF2:BJ2"/>
    <mergeCell ref="BF3:BJ3"/>
    <mergeCell ref="BF6:BI6"/>
    <mergeCell ref="BJ7:BK7"/>
    <mergeCell ref="BJ8:BK8"/>
    <mergeCell ref="BJ9:BK9"/>
    <mergeCell ref="BJ10:BK10"/>
    <mergeCell ref="BC34:BD34"/>
    <mergeCell ref="BC35:BD35"/>
    <mergeCell ref="BC22:BD22"/>
    <mergeCell ref="BC23:BD23"/>
    <mergeCell ref="BC10:BD10"/>
    <mergeCell ref="BC11:BD11"/>
    <mergeCell ref="BF24:BI24"/>
    <mergeCell ref="BJ25:BK25"/>
    <mergeCell ref="BJ26:BK26"/>
    <mergeCell ref="BJ27:BK27"/>
    <mergeCell ref="BJ28:BK28"/>
    <mergeCell ref="BJ17:BK17"/>
    <mergeCell ref="BF18:BI18"/>
    <mergeCell ref="BJ19:BK19"/>
    <mergeCell ref="BJ20:BK20"/>
    <mergeCell ref="BJ21:BK21"/>
    <mergeCell ref="BJ22:BK22"/>
    <mergeCell ref="BF36:BI36"/>
    <mergeCell ref="BJ37:BK37"/>
    <mergeCell ref="BJ38:BK38"/>
    <mergeCell ref="BJ39:BK39"/>
    <mergeCell ref="BJ40:BK40"/>
    <mergeCell ref="BJ29:BK29"/>
    <mergeCell ref="BF30:BI30"/>
    <mergeCell ref="BJ31:BK31"/>
    <mergeCell ref="BJ32:BK32"/>
    <mergeCell ref="BJ33:BK33"/>
    <mergeCell ref="BJ34:BK34"/>
    <mergeCell ref="BM12:BP12"/>
    <mergeCell ref="BQ13:BR13"/>
    <mergeCell ref="BQ14:BR14"/>
    <mergeCell ref="BQ15:BR15"/>
    <mergeCell ref="BQ16:BR16"/>
    <mergeCell ref="BQ17:BR17"/>
    <mergeCell ref="BJ41:BK41"/>
    <mergeCell ref="BM1:BQ1"/>
    <mergeCell ref="BM2:BQ2"/>
    <mergeCell ref="BM3:BQ3"/>
    <mergeCell ref="BM6:BP6"/>
    <mergeCell ref="BQ7:BR7"/>
    <mergeCell ref="BQ8:BR8"/>
    <mergeCell ref="BQ9:BR9"/>
    <mergeCell ref="BQ10:BR10"/>
    <mergeCell ref="BQ11:BR11"/>
    <mergeCell ref="BJ35:BK35"/>
    <mergeCell ref="BJ23:BK23"/>
    <mergeCell ref="BJ11:BK11"/>
    <mergeCell ref="BM24:BP24"/>
    <mergeCell ref="BQ25:BR25"/>
    <mergeCell ref="BQ26:BR26"/>
    <mergeCell ref="BQ27:BR27"/>
    <mergeCell ref="BQ28:BR28"/>
    <mergeCell ref="BQ29:BR29"/>
    <mergeCell ref="BM18:BP18"/>
    <mergeCell ref="BQ19:BR19"/>
    <mergeCell ref="BQ20:BR20"/>
    <mergeCell ref="BQ21:BR21"/>
    <mergeCell ref="BQ22:BR22"/>
    <mergeCell ref="BQ23:BR23"/>
    <mergeCell ref="BM36:BP36"/>
    <mergeCell ref="BQ37:BR37"/>
    <mergeCell ref="BQ38:BR38"/>
    <mergeCell ref="BQ39:BR39"/>
    <mergeCell ref="BQ40:BR40"/>
    <mergeCell ref="BQ41:BR41"/>
    <mergeCell ref="BM30:BP30"/>
    <mergeCell ref="BQ31:BR31"/>
    <mergeCell ref="BQ32:BR32"/>
    <mergeCell ref="BQ33:BR33"/>
    <mergeCell ref="BQ34:BR34"/>
    <mergeCell ref="BQ35:BR35"/>
    <mergeCell ref="BX15:BY15"/>
    <mergeCell ref="BX16:BY16"/>
    <mergeCell ref="BX17:BY17"/>
    <mergeCell ref="BT6:BW6"/>
    <mergeCell ref="BX7:BY7"/>
    <mergeCell ref="BX8:BY8"/>
    <mergeCell ref="BX9:BY9"/>
    <mergeCell ref="BX10:BY10"/>
    <mergeCell ref="BX11:BY11"/>
    <mergeCell ref="BX39:BY39"/>
    <mergeCell ref="BX40:BY40"/>
    <mergeCell ref="BX41:BY41"/>
    <mergeCell ref="BT30:BW30"/>
    <mergeCell ref="BX31:BY31"/>
    <mergeCell ref="BX32:BY32"/>
    <mergeCell ref="BX33:BY33"/>
    <mergeCell ref="BX34:BY34"/>
    <mergeCell ref="BX35:BY35"/>
    <mergeCell ref="BT1:BX1"/>
    <mergeCell ref="BT2:BX2"/>
    <mergeCell ref="BT3:BX3"/>
    <mergeCell ref="CA1:CE1"/>
    <mergeCell ref="CA2:CE2"/>
    <mergeCell ref="CA3:CE3"/>
    <mergeCell ref="BT36:BW36"/>
    <mergeCell ref="BX37:BY37"/>
    <mergeCell ref="BX38:BY38"/>
    <mergeCell ref="BT24:BW24"/>
    <mergeCell ref="BX25:BY25"/>
    <mergeCell ref="BX26:BY26"/>
    <mergeCell ref="BX27:BY27"/>
    <mergeCell ref="BX28:BY28"/>
    <mergeCell ref="BX29:BY29"/>
    <mergeCell ref="BT18:BW18"/>
    <mergeCell ref="BX19:BY19"/>
    <mergeCell ref="BX20:BY20"/>
    <mergeCell ref="BX21:BY21"/>
    <mergeCell ref="BX22:BY22"/>
    <mergeCell ref="BX23:BY23"/>
    <mergeCell ref="BT12:BW12"/>
    <mergeCell ref="BX13:BY13"/>
    <mergeCell ref="BX14:BY14"/>
    <mergeCell ref="CA12:CD12"/>
    <mergeCell ref="CE13:CF13"/>
    <mergeCell ref="CE14:CF14"/>
    <mergeCell ref="CE15:CF15"/>
    <mergeCell ref="CE16:CF16"/>
    <mergeCell ref="CE17:CF17"/>
    <mergeCell ref="CA6:CD6"/>
    <mergeCell ref="CE7:CF7"/>
    <mergeCell ref="CE8:CF8"/>
    <mergeCell ref="CE9:CF9"/>
    <mergeCell ref="CE10:CF10"/>
    <mergeCell ref="CE11:CF11"/>
    <mergeCell ref="CA24:CD24"/>
    <mergeCell ref="CE25:CF25"/>
    <mergeCell ref="CE26:CF26"/>
    <mergeCell ref="CE27:CF27"/>
    <mergeCell ref="CE28:CF28"/>
    <mergeCell ref="CE29:CF29"/>
    <mergeCell ref="CA18:CD18"/>
    <mergeCell ref="CE19:CF19"/>
    <mergeCell ref="CE20:CF20"/>
    <mergeCell ref="CE21:CF21"/>
    <mergeCell ref="CE22:CF22"/>
    <mergeCell ref="CE23:CF23"/>
    <mergeCell ref="CA36:CD36"/>
    <mergeCell ref="CE37:CF37"/>
    <mergeCell ref="CE38:CF38"/>
    <mergeCell ref="CE39:CF39"/>
    <mergeCell ref="CE40:CF40"/>
    <mergeCell ref="CE41:CF41"/>
    <mergeCell ref="CA30:CD30"/>
    <mergeCell ref="CE31:CF31"/>
    <mergeCell ref="CE32:CF32"/>
    <mergeCell ref="CE33:CF33"/>
    <mergeCell ref="CE34:CF34"/>
    <mergeCell ref="CE35:CF35"/>
  </mergeCells>
  <hyperlinks>
    <hyperlink ref="B3" r:id="rId1" xr:uid="{EAF71873-CBF1-BE44-969B-2973AB9D65E0}"/>
    <hyperlink ref="P3" r:id="rId2" xr:uid="{5CA86A4D-BA3A-2641-926F-0A8BD3DDBA3C}"/>
    <hyperlink ref="W3" r:id="rId3" xr:uid="{C01C2753-74D1-FB4C-9567-6FBF8DF187F7}"/>
    <hyperlink ref="AD3" r:id="rId4" xr:uid="{E5195339-5653-0F48-8731-630140588CC7}"/>
    <hyperlink ref="AK3" r:id="rId5" xr:uid="{152341F4-486F-D341-BE72-3D39C55B9DC6}"/>
    <hyperlink ref="AR3" r:id="rId6" xr:uid="{6890BC7C-F87B-5C40-9702-877235AF681E}"/>
    <hyperlink ref="AY3" r:id="rId7" xr:uid="{ABE15F81-C071-9D4E-BB3B-E0ADCB9D3AF9}"/>
    <hyperlink ref="BT3" r:id="rId8" xr:uid="{94DAF7BB-F4AD-B445-A04E-B97CAF829895}"/>
    <hyperlink ref="CA3" r:id="rId9" display="gerencia@proyectamoscolombia.com" xr:uid="{FC7E9782-784F-A547-A168-9BAA152D029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1CC7-92E5-3446-8136-1ACD685874C4}">
  <dimension ref="A1:DT82"/>
  <sheetViews>
    <sheetView workbookViewId="0">
      <selection activeCell="A7" sqref="A7"/>
    </sheetView>
  </sheetViews>
  <sheetFormatPr baseColWidth="10" defaultRowHeight="16" x14ac:dyDescent="0.2"/>
  <cols>
    <col min="1" max="1" width="30" customWidth="1"/>
    <col min="2" max="2" width="9" bestFit="1" customWidth="1"/>
    <col min="3" max="3" width="22.5" bestFit="1" customWidth="1"/>
    <col min="4" max="4" width="14.5" bestFit="1" customWidth="1"/>
    <col min="5" max="5" width="12.5" bestFit="1" customWidth="1"/>
    <col min="6" max="6" width="5.6640625" bestFit="1" customWidth="1"/>
    <col min="7" max="7" width="10.6640625" bestFit="1" customWidth="1"/>
    <col min="8" max="8" width="2.83203125" customWidth="1"/>
    <col min="11" max="11" width="13.1640625" bestFit="1" customWidth="1"/>
    <col min="12" max="12" width="11" bestFit="1" customWidth="1"/>
    <col min="15" max="15" width="2.83203125" customWidth="1"/>
    <col min="18" max="18" width="14.5" bestFit="1" customWidth="1"/>
    <col min="19" max="19" width="11" bestFit="1" customWidth="1"/>
    <col min="22" max="22" width="2.83203125" customWidth="1"/>
    <col min="25" max="25" width="13.1640625" bestFit="1" customWidth="1"/>
    <col min="26" max="26" width="11" bestFit="1" customWidth="1"/>
    <col min="29" max="29" width="2.83203125" customWidth="1"/>
    <col min="32" max="32" width="13.1640625" bestFit="1" customWidth="1"/>
    <col min="33" max="33" width="11" bestFit="1" customWidth="1"/>
    <col min="36" max="36" width="2.83203125" customWidth="1"/>
    <col min="38" max="38" width="22.5" bestFit="1" customWidth="1"/>
    <col min="39" max="39" width="16.83203125" bestFit="1" customWidth="1"/>
    <col min="40" max="40" width="11" bestFit="1" customWidth="1"/>
    <col min="43" max="43" width="2.83203125" customWidth="1"/>
    <col min="46" max="46" width="13.1640625" bestFit="1" customWidth="1"/>
    <col min="47" max="47" width="11" bestFit="1" customWidth="1"/>
    <col min="50" max="50" width="2.83203125" customWidth="1"/>
    <col min="52" max="52" width="22.5" bestFit="1" customWidth="1"/>
    <col min="53" max="53" width="13.1640625" bestFit="1" customWidth="1"/>
    <col min="54" max="54" width="11" bestFit="1" customWidth="1"/>
    <col min="57" max="57" width="2.83203125" customWidth="1"/>
    <col min="59" max="59" width="22.5" bestFit="1" customWidth="1"/>
    <col min="60" max="60" width="13.33203125" bestFit="1" customWidth="1"/>
    <col min="61" max="61" width="11" bestFit="1" customWidth="1"/>
    <col min="64" max="64" width="2.83203125" customWidth="1"/>
    <col min="66" max="66" width="22.5" bestFit="1" customWidth="1"/>
    <col min="67" max="67" width="13.1640625" bestFit="1" customWidth="1"/>
    <col min="68" max="68" width="11" bestFit="1" customWidth="1"/>
    <col min="71" max="71" width="2.83203125" customWidth="1"/>
    <col min="73" max="73" width="22.5" bestFit="1" customWidth="1"/>
    <col min="74" max="74" width="15.1640625" bestFit="1" customWidth="1"/>
    <col min="75" max="75" width="11" bestFit="1" customWidth="1"/>
    <col min="78" max="78" width="2.83203125" customWidth="1"/>
    <col min="81" max="81" width="13.1640625" bestFit="1" customWidth="1"/>
    <col min="82" max="82" width="11.6640625" bestFit="1" customWidth="1"/>
    <col min="85" max="85" width="2.83203125" customWidth="1"/>
    <col min="87" max="87" width="22.5" bestFit="1" customWidth="1"/>
    <col min="88" max="88" width="13.1640625" bestFit="1" customWidth="1"/>
    <col min="89" max="89" width="11" bestFit="1" customWidth="1"/>
    <col min="92" max="92" width="2.83203125" customWidth="1"/>
    <col min="94" max="94" width="25.1640625" bestFit="1" customWidth="1"/>
    <col min="95" max="95" width="17.83203125" customWidth="1"/>
    <col min="99" max="99" width="2.83203125" customWidth="1"/>
    <col min="101" max="101" width="22.5" bestFit="1" customWidth="1"/>
    <col min="102" max="102" width="13.1640625" bestFit="1" customWidth="1"/>
    <col min="103" max="103" width="11.6640625" bestFit="1" customWidth="1"/>
    <col min="106" max="106" width="2.83203125" customWidth="1"/>
    <col min="108" max="108" width="22.5" bestFit="1" customWidth="1"/>
    <col min="109" max="109" width="13.1640625" bestFit="1" customWidth="1"/>
    <col min="110" max="110" width="11.6640625" bestFit="1" customWidth="1"/>
    <col min="113" max="113" width="2.83203125" customWidth="1"/>
    <col min="114" max="121" width="20.83203125" customWidth="1"/>
    <col min="122" max="122" width="11.33203125" bestFit="1" customWidth="1"/>
    <col min="123" max="123" width="35.6640625" bestFit="1" customWidth="1"/>
    <col min="124" max="124" width="24.5" bestFit="1" customWidth="1"/>
  </cols>
  <sheetData>
    <row r="1" spans="1:124" ht="17" customHeight="1" thickBot="1" x14ac:dyDescent="0.25">
      <c r="A1" t="s">
        <v>45</v>
      </c>
      <c r="B1" s="101" t="s">
        <v>46</v>
      </c>
      <c r="C1" s="101"/>
      <c r="D1" s="101"/>
      <c r="E1" s="101"/>
      <c r="F1" s="101"/>
      <c r="G1" s="101"/>
      <c r="I1" s="101" t="s">
        <v>154</v>
      </c>
      <c r="J1" s="101"/>
      <c r="K1" s="101"/>
      <c r="L1" s="101"/>
      <c r="M1" s="101"/>
      <c r="N1" s="101"/>
      <c r="P1" s="101" t="s">
        <v>157</v>
      </c>
      <c r="Q1" s="101"/>
      <c r="R1" s="101"/>
      <c r="S1" s="101"/>
      <c r="T1" s="101"/>
      <c r="U1" s="101"/>
      <c r="W1" s="101" t="s">
        <v>159</v>
      </c>
      <c r="X1" s="101"/>
      <c r="Y1" s="101"/>
      <c r="Z1" s="101"/>
      <c r="AA1" s="101"/>
      <c r="AD1" s="163" t="s">
        <v>162</v>
      </c>
      <c r="AE1" s="163"/>
      <c r="AF1" s="164"/>
      <c r="AG1" s="164"/>
      <c r="AH1" s="165"/>
      <c r="AK1" s="101" t="s">
        <v>165</v>
      </c>
      <c r="AL1" s="101"/>
      <c r="AM1" s="101"/>
      <c r="AN1" s="101"/>
      <c r="AO1" s="101"/>
      <c r="AR1" s="101" t="s">
        <v>168</v>
      </c>
      <c r="AS1" s="101"/>
      <c r="AT1" s="101"/>
      <c r="AU1" s="101"/>
      <c r="AV1" s="101"/>
      <c r="AW1" s="7"/>
      <c r="AY1" s="101" t="s">
        <v>174</v>
      </c>
      <c r="AZ1" s="101"/>
      <c r="BA1" s="101"/>
      <c r="BB1" s="101"/>
      <c r="BC1" s="101"/>
      <c r="BD1" s="7"/>
      <c r="BF1" s="101" t="s">
        <v>176</v>
      </c>
      <c r="BG1" s="101"/>
      <c r="BH1" s="101"/>
      <c r="BI1" s="101"/>
      <c r="BJ1" s="101"/>
      <c r="BK1" s="7"/>
      <c r="BM1" s="101" t="s">
        <v>180</v>
      </c>
      <c r="BN1" s="101"/>
      <c r="BO1" s="101"/>
      <c r="BP1" s="101"/>
      <c r="BQ1" s="101"/>
      <c r="BR1" s="7"/>
      <c r="BT1" s="101" t="s">
        <v>186</v>
      </c>
      <c r="BU1" s="101"/>
      <c r="BV1" s="101"/>
      <c r="BW1" s="101"/>
      <c r="BX1" s="101"/>
      <c r="BY1" s="7"/>
      <c r="CA1" s="101" t="s">
        <v>192</v>
      </c>
      <c r="CB1" s="101"/>
      <c r="CC1" s="101"/>
      <c r="CD1" s="101"/>
      <c r="CE1" s="101"/>
      <c r="CF1" s="7"/>
      <c r="CH1" s="101" t="s">
        <v>195</v>
      </c>
      <c r="CI1" s="101"/>
      <c r="CJ1" s="101"/>
      <c r="CK1" s="101"/>
      <c r="CL1" s="101"/>
      <c r="CM1" s="7"/>
      <c r="CO1" s="159" t="s">
        <v>198</v>
      </c>
      <c r="CP1" s="159"/>
      <c r="CQ1" s="159"/>
      <c r="CR1" s="159"/>
      <c r="CS1" s="159"/>
      <c r="CT1" s="7"/>
      <c r="CV1" s="101" t="s">
        <v>281</v>
      </c>
      <c r="CW1" s="101"/>
      <c r="CX1" s="101"/>
      <c r="CY1" s="101"/>
      <c r="CZ1" s="101"/>
      <c r="DA1" s="7"/>
      <c r="DC1" s="101" t="s">
        <v>286</v>
      </c>
      <c r="DD1" s="101"/>
      <c r="DE1" s="101"/>
      <c r="DF1" s="101"/>
      <c r="DG1" s="101"/>
      <c r="DH1" s="7"/>
      <c r="DJ1" t="s">
        <v>274</v>
      </c>
    </row>
    <row r="2" spans="1:124" ht="17" thickBot="1" x14ac:dyDescent="0.25">
      <c r="A2" t="s">
        <v>47</v>
      </c>
      <c r="B2" s="101" t="s">
        <v>49</v>
      </c>
      <c r="C2" s="101"/>
      <c r="D2" s="101"/>
      <c r="E2" s="101"/>
      <c r="F2" s="101"/>
      <c r="G2" s="101"/>
      <c r="I2" s="101" t="s">
        <v>155</v>
      </c>
      <c r="J2" s="101"/>
      <c r="K2" s="101"/>
      <c r="L2" s="101"/>
      <c r="M2" s="101"/>
      <c r="N2" s="101"/>
      <c r="P2" s="101"/>
      <c r="Q2" s="101"/>
      <c r="R2" s="101"/>
      <c r="S2" s="101"/>
      <c r="T2" s="101"/>
      <c r="U2" s="101"/>
      <c r="W2" s="101" t="s">
        <v>160</v>
      </c>
      <c r="X2" s="101"/>
      <c r="Y2" s="101"/>
      <c r="Z2" s="101"/>
      <c r="AA2" s="101"/>
      <c r="AD2" s="163" t="s">
        <v>163</v>
      </c>
      <c r="AE2" s="163"/>
      <c r="AF2" s="164"/>
      <c r="AG2" s="164"/>
      <c r="AH2" s="165"/>
      <c r="AK2" s="101" t="s">
        <v>166</v>
      </c>
      <c r="AL2" s="101"/>
      <c r="AM2" s="101"/>
      <c r="AN2" s="101"/>
      <c r="AO2" s="101"/>
      <c r="AR2" s="101" t="s">
        <v>169</v>
      </c>
      <c r="AS2" s="101"/>
      <c r="AT2" s="101"/>
      <c r="AU2" s="101"/>
      <c r="AV2" s="101"/>
      <c r="AW2" s="7"/>
      <c r="AY2" s="101">
        <v>9003504166</v>
      </c>
      <c r="AZ2" s="101"/>
      <c r="BA2" s="101"/>
      <c r="BB2" s="101"/>
      <c r="BC2" s="101"/>
      <c r="BD2" s="7"/>
      <c r="BF2" s="101" t="s">
        <v>177</v>
      </c>
      <c r="BG2" s="101"/>
      <c r="BH2" s="101"/>
      <c r="BI2" s="101"/>
      <c r="BJ2" s="101"/>
      <c r="BK2" s="7"/>
      <c r="BM2" s="101" t="s">
        <v>181</v>
      </c>
      <c r="BN2" s="101"/>
      <c r="BO2" s="101"/>
      <c r="BP2" s="101"/>
      <c r="BQ2" s="101"/>
      <c r="BR2" s="7"/>
      <c r="BT2" s="101" t="s">
        <v>187</v>
      </c>
      <c r="BU2" s="101"/>
      <c r="BV2" s="101"/>
      <c r="BW2" s="101"/>
      <c r="BX2" s="101"/>
      <c r="BY2" s="7"/>
      <c r="CA2" s="101" t="s">
        <v>193</v>
      </c>
      <c r="CB2" s="101"/>
      <c r="CC2" s="101"/>
      <c r="CD2" s="101"/>
      <c r="CE2" s="101"/>
      <c r="CF2" s="7"/>
      <c r="CH2" s="101" t="s">
        <v>196</v>
      </c>
      <c r="CI2" s="101"/>
      <c r="CJ2" s="101"/>
      <c r="CK2" s="101"/>
      <c r="CL2" s="101"/>
      <c r="CM2" s="7"/>
      <c r="CO2" s="159" t="s">
        <v>199</v>
      </c>
      <c r="CP2" s="159"/>
      <c r="CQ2" s="159"/>
      <c r="CR2" s="159"/>
      <c r="CS2" s="159"/>
      <c r="CT2" s="7"/>
      <c r="CV2" s="101" t="s">
        <v>282</v>
      </c>
      <c r="CW2" s="101"/>
      <c r="CX2" s="101"/>
      <c r="CY2" s="101"/>
      <c r="CZ2" s="101"/>
      <c r="DA2" s="7"/>
      <c r="DC2" s="101" t="s">
        <v>287</v>
      </c>
      <c r="DD2" s="101"/>
      <c r="DE2" s="101"/>
      <c r="DF2" s="101"/>
      <c r="DG2" s="101"/>
      <c r="DH2" s="7"/>
    </row>
    <row r="3" spans="1:124" ht="17" thickBot="1" x14ac:dyDescent="0.25">
      <c r="A3" t="s">
        <v>48</v>
      </c>
      <c r="B3" s="102" t="s">
        <v>50</v>
      </c>
      <c r="C3" s="101"/>
      <c r="D3" s="101"/>
      <c r="E3" s="101"/>
      <c r="F3" s="101"/>
      <c r="G3" s="101"/>
      <c r="I3" s="102" t="s">
        <v>156</v>
      </c>
      <c r="J3" s="101"/>
      <c r="K3" s="101"/>
      <c r="L3" s="101"/>
      <c r="M3" s="101"/>
      <c r="N3" s="101"/>
      <c r="P3" s="102"/>
      <c r="Q3" s="101"/>
      <c r="R3" s="101"/>
      <c r="S3" s="101"/>
      <c r="T3" s="101"/>
      <c r="U3" s="101"/>
      <c r="W3" s="102" t="s">
        <v>161</v>
      </c>
      <c r="X3" s="101"/>
      <c r="Y3" s="101"/>
      <c r="Z3" s="101"/>
      <c r="AA3" s="101"/>
      <c r="AD3" s="166" t="s">
        <v>164</v>
      </c>
      <c r="AE3" s="163"/>
      <c r="AF3" s="164"/>
      <c r="AG3" s="164"/>
      <c r="AH3" s="165"/>
      <c r="AK3" s="102" t="s">
        <v>167</v>
      </c>
      <c r="AL3" s="101"/>
      <c r="AM3" s="101"/>
      <c r="AN3" s="101"/>
      <c r="AO3" s="101"/>
      <c r="AR3" s="102" t="s">
        <v>170</v>
      </c>
      <c r="AS3" s="101"/>
      <c r="AT3" s="101"/>
      <c r="AU3" s="101"/>
      <c r="AV3" s="101"/>
      <c r="AW3" s="8"/>
      <c r="AY3" s="102" t="s">
        <v>175</v>
      </c>
      <c r="AZ3" s="101"/>
      <c r="BA3" s="101"/>
      <c r="BB3" s="101"/>
      <c r="BC3" s="101"/>
      <c r="BD3" s="8"/>
      <c r="BF3" s="102" t="s">
        <v>178</v>
      </c>
      <c r="BG3" s="101"/>
      <c r="BH3" s="101"/>
      <c r="BI3" s="101"/>
      <c r="BJ3" s="101"/>
      <c r="BK3" s="8"/>
      <c r="BM3" s="102" t="s">
        <v>182</v>
      </c>
      <c r="BN3" s="101"/>
      <c r="BO3" s="101"/>
      <c r="BP3" s="101"/>
      <c r="BQ3" s="101"/>
      <c r="BR3" s="8"/>
      <c r="BT3" s="102" t="s">
        <v>188</v>
      </c>
      <c r="BU3" s="101"/>
      <c r="BV3" s="101"/>
      <c r="BW3" s="101"/>
      <c r="BX3" s="101"/>
      <c r="BY3" s="8"/>
      <c r="CA3" s="102" t="s">
        <v>194</v>
      </c>
      <c r="CB3" s="101"/>
      <c r="CC3" s="101"/>
      <c r="CD3" s="101"/>
      <c r="CE3" s="101"/>
      <c r="CF3" s="8"/>
      <c r="CH3" s="102" t="s">
        <v>197</v>
      </c>
      <c r="CI3" s="101"/>
      <c r="CJ3" s="101"/>
      <c r="CK3" s="101"/>
      <c r="CL3" s="101"/>
      <c r="CM3" s="8"/>
      <c r="CO3" s="160" t="s">
        <v>200</v>
      </c>
      <c r="CP3" s="159"/>
      <c r="CQ3" s="159"/>
      <c r="CR3" s="159"/>
      <c r="CS3" s="159"/>
      <c r="CT3" s="8"/>
      <c r="CV3" s="102" t="s">
        <v>283</v>
      </c>
      <c r="CW3" s="101"/>
      <c r="CX3" s="101"/>
      <c r="CY3" s="101"/>
      <c r="CZ3" s="101"/>
      <c r="DA3" s="8"/>
      <c r="DC3" s="102" t="s">
        <v>288</v>
      </c>
      <c r="DD3" s="101"/>
      <c r="DE3" s="101"/>
      <c r="DF3" s="101"/>
      <c r="DG3" s="101"/>
      <c r="DH3" s="8"/>
    </row>
    <row r="4" spans="1:124" ht="7" customHeight="1" thickBot="1" x14ac:dyDescent="0.25"/>
    <row r="5" spans="1:124" ht="17" customHeight="1" thickBot="1" x14ac:dyDescent="0.25">
      <c r="A5" s="128" t="s">
        <v>90</v>
      </c>
      <c r="B5" s="129"/>
      <c r="C5" s="129"/>
      <c r="D5" s="129"/>
      <c r="E5" s="129"/>
      <c r="F5" s="129"/>
      <c r="G5" s="130"/>
    </row>
    <row r="6" spans="1:124" ht="17" customHeight="1" thickBot="1" x14ac:dyDescent="0.25">
      <c r="A6" s="1" t="s">
        <v>91</v>
      </c>
      <c r="B6" s="116" t="s">
        <v>92</v>
      </c>
      <c r="C6" s="117"/>
      <c r="D6" s="117"/>
      <c r="E6" s="118"/>
      <c r="F6" s="1" t="s">
        <v>3</v>
      </c>
      <c r="G6" s="2" t="s">
        <v>93</v>
      </c>
      <c r="M6" s="1" t="s">
        <v>3</v>
      </c>
      <c r="N6" s="2" t="s">
        <v>93</v>
      </c>
      <c r="P6" s="116" t="s">
        <v>92</v>
      </c>
      <c r="Q6" s="117"/>
      <c r="R6" s="117"/>
      <c r="S6" s="118"/>
      <c r="T6" s="1" t="s">
        <v>3</v>
      </c>
      <c r="U6" s="2" t="s">
        <v>93</v>
      </c>
      <c r="W6" s="116" t="s">
        <v>92</v>
      </c>
      <c r="X6" s="117"/>
      <c r="Y6" s="117"/>
      <c r="Z6" s="118"/>
      <c r="AA6" s="1" t="s">
        <v>3</v>
      </c>
      <c r="AB6" s="2" t="s">
        <v>93</v>
      </c>
      <c r="AD6" s="116" t="s">
        <v>92</v>
      </c>
      <c r="AE6" s="117"/>
      <c r="AF6" s="117"/>
      <c r="AG6" s="118"/>
      <c r="AH6" s="1" t="s">
        <v>3</v>
      </c>
      <c r="AI6" s="2" t="s">
        <v>93</v>
      </c>
      <c r="AK6" s="116" t="s">
        <v>92</v>
      </c>
      <c r="AL6" s="117"/>
      <c r="AM6" s="117"/>
      <c r="AN6" s="118"/>
      <c r="AO6" s="1" t="s">
        <v>3</v>
      </c>
      <c r="AP6" s="2" t="s">
        <v>93</v>
      </c>
      <c r="AR6" s="116" t="s">
        <v>92</v>
      </c>
      <c r="AS6" s="117"/>
      <c r="AT6" s="117"/>
      <c r="AU6" s="118"/>
      <c r="AV6" s="1" t="s">
        <v>3</v>
      </c>
      <c r="AW6" s="2" t="s">
        <v>93</v>
      </c>
      <c r="AY6" s="116" t="s">
        <v>92</v>
      </c>
      <c r="AZ6" s="117"/>
      <c r="BA6" s="117"/>
      <c r="BB6" s="118"/>
      <c r="BC6" s="1" t="s">
        <v>3</v>
      </c>
      <c r="BD6" s="2" t="s">
        <v>93</v>
      </c>
      <c r="BF6" s="144" t="s">
        <v>92</v>
      </c>
      <c r="BG6" s="145"/>
      <c r="BH6" s="145"/>
      <c r="BI6" s="146"/>
      <c r="BJ6" s="40" t="s">
        <v>3</v>
      </c>
      <c r="BK6" s="41" t="s">
        <v>93</v>
      </c>
      <c r="BM6" s="95" t="s">
        <v>92</v>
      </c>
      <c r="BN6" s="96"/>
      <c r="BO6" s="96"/>
      <c r="BP6" s="97"/>
      <c r="BQ6" s="60" t="s">
        <v>3</v>
      </c>
      <c r="BR6" s="61" t="s">
        <v>93</v>
      </c>
      <c r="BT6" s="103" t="s">
        <v>92</v>
      </c>
      <c r="BU6" s="104"/>
      <c r="BV6" s="104"/>
      <c r="BW6" s="105"/>
      <c r="BX6" s="18" t="s">
        <v>3</v>
      </c>
      <c r="BY6" s="19" t="s">
        <v>93</v>
      </c>
      <c r="CA6" s="103" t="s">
        <v>92</v>
      </c>
      <c r="CB6" s="104"/>
      <c r="CC6" s="104"/>
      <c r="CD6" s="105"/>
      <c r="CE6" s="18" t="s">
        <v>3</v>
      </c>
      <c r="CF6" s="19" t="s">
        <v>93</v>
      </c>
      <c r="CH6" s="103" t="s">
        <v>92</v>
      </c>
      <c r="CI6" s="104"/>
      <c r="CJ6" s="104"/>
      <c r="CK6" s="105"/>
      <c r="CL6" s="18" t="s">
        <v>3</v>
      </c>
      <c r="CM6" s="19" t="s">
        <v>93</v>
      </c>
      <c r="CO6" s="103" t="s">
        <v>201</v>
      </c>
      <c r="CP6" s="104"/>
      <c r="CQ6" s="104"/>
      <c r="CR6" s="105"/>
      <c r="CS6" s="18" t="s">
        <v>202</v>
      </c>
      <c r="CT6" s="19" t="s">
        <v>203</v>
      </c>
      <c r="CV6" s="95" t="s">
        <v>92</v>
      </c>
      <c r="CW6" s="96"/>
      <c r="CX6" s="96"/>
      <c r="CY6" s="97"/>
      <c r="CZ6" s="60" t="s">
        <v>3</v>
      </c>
      <c r="DA6" s="61" t="s">
        <v>93</v>
      </c>
      <c r="DC6" s="103" t="s">
        <v>92</v>
      </c>
      <c r="DD6" s="104"/>
      <c r="DE6" s="104"/>
      <c r="DF6" s="105"/>
      <c r="DG6" s="18" t="s">
        <v>3</v>
      </c>
      <c r="DH6" s="19" t="s">
        <v>93</v>
      </c>
    </row>
    <row r="7" spans="1:124" ht="46" thickBot="1" x14ac:dyDescent="0.25">
      <c r="A7" s="3" t="s">
        <v>5</v>
      </c>
      <c r="B7" s="3" t="s">
        <v>6</v>
      </c>
      <c r="C7" s="3" t="s">
        <v>7</v>
      </c>
      <c r="D7" s="3" t="s">
        <v>8</v>
      </c>
      <c r="E7" s="4" t="s">
        <v>9</v>
      </c>
      <c r="F7" s="123" t="s">
        <v>21</v>
      </c>
      <c r="G7" s="124"/>
      <c r="I7" s="3" t="s">
        <v>6</v>
      </c>
      <c r="J7" s="3" t="s">
        <v>7</v>
      </c>
      <c r="K7" s="3" t="s">
        <v>8</v>
      </c>
      <c r="L7" s="4" t="s">
        <v>9</v>
      </c>
      <c r="M7" s="123" t="s">
        <v>21</v>
      </c>
      <c r="N7" s="124"/>
      <c r="P7" s="3" t="s">
        <v>6</v>
      </c>
      <c r="Q7" s="3" t="s">
        <v>7</v>
      </c>
      <c r="R7" s="3" t="s">
        <v>8</v>
      </c>
      <c r="S7" s="4" t="s">
        <v>9</v>
      </c>
      <c r="T7" s="123" t="s">
        <v>21</v>
      </c>
      <c r="U7" s="124"/>
      <c r="W7" s="20" t="s">
        <v>6</v>
      </c>
      <c r="X7" s="20" t="s">
        <v>7</v>
      </c>
      <c r="Y7" s="20" t="s">
        <v>8</v>
      </c>
      <c r="Z7" s="21" t="s">
        <v>9</v>
      </c>
      <c r="AA7" s="106" t="s">
        <v>21</v>
      </c>
      <c r="AB7" s="107"/>
      <c r="AD7" s="20" t="s">
        <v>6</v>
      </c>
      <c r="AE7" s="20" t="s">
        <v>7</v>
      </c>
      <c r="AF7" s="20" t="s">
        <v>8</v>
      </c>
      <c r="AG7" s="21" t="s">
        <v>9</v>
      </c>
      <c r="AH7" s="106" t="s">
        <v>21</v>
      </c>
      <c r="AI7" s="107"/>
      <c r="AK7" s="20" t="s">
        <v>6</v>
      </c>
      <c r="AL7" s="20" t="s">
        <v>7</v>
      </c>
      <c r="AM7" s="20" t="s">
        <v>8</v>
      </c>
      <c r="AN7" s="21" t="s">
        <v>9</v>
      </c>
      <c r="AO7" s="106" t="s">
        <v>21</v>
      </c>
      <c r="AP7" s="107"/>
      <c r="AR7" s="20" t="s">
        <v>6</v>
      </c>
      <c r="AS7" s="20" t="s">
        <v>7</v>
      </c>
      <c r="AT7" s="20" t="s">
        <v>8</v>
      </c>
      <c r="AU7" s="21" t="s">
        <v>9</v>
      </c>
      <c r="AV7" s="106" t="s">
        <v>21</v>
      </c>
      <c r="AW7" s="107"/>
      <c r="AY7" s="52" t="s">
        <v>6</v>
      </c>
      <c r="AZ7" s="52" t="s">
        <v>7</v>
      </c>
      <c r="BA7" s="52" t="s">
        <v>8</v>
      </c>
      <c r="BB7" s="53" t="s">
        <v>9</v>
      </c>
      <c r="BC7" s="98" t="s">
        <v>21</v>
      </c>
      <c r="BD7" s="97"/>
      <c r="BF7" s="42" t="s">
        <v>6</v>
      </c>
      <c r="BG7" s="42" t="s">
        <v>7</v>
      </c>
      <c r="BH7" s="42" t="s">
        <v>8</v>
      </c>
      <c r="BI7" s="43" t="s">
        <v>9</v>
      </c>
      <c r="BJ7" s="147" t="s">
        <v>21</v>
      </c>
      <c r="BK7" s="148"/>
      <c r="BM7" s="52" t="s">
        <v>6</v>
      </c>
      <c r="BN7" s="52" t="s">
        <v>7</v>
      </c>
      <c r="BO7" s="52" t="s">
        <v>8</v>
      </c>
      <c r="BP7" s="53" t="s">
        <v>9</v>
      </c>
      <c r="BQ7" s="98" t="s">
        <v>21</v>
      </c>
      <c r="BR7" s="97"/>
      <c r="BT7" s="20" t="s">
        <v>6</v>
      </c>
      <c r="BU7" s="20" t="s">
        <v>7</v>
      </c>
      <c r="BV7" s="20" t="s">
        <v>8</v>
      </c>
      <c r="BW7" s="21" t="s">
        <v>9</v>
      </c>
      <c r="BX7" s="106" t="s">
        <v>21</v>
      </c>
      <c r="BY7" s="107"/>
      <c r="CA7" s="20" t="s">
        <v>6</v>
      </c>
      <c r="CB7" s="20" t="s">
        <v>7</v>
      </c>
      <c r="CC7" s="20" t="s">
        <v>8</v>
      </c>
      <c r="CD7" s="21" t="s">
        <v>9</v>
      </c>
      <c r="CE7" s="106" t="s">
        <v>21</v>
      </c>
      <c r="CF7" s="107"/>
      <c r="CH7" s="20" t="s">
        <v>6</v>
      </c>
      <c r="CI7" s="20" t="s">
        <v>7</v>
      </c>
      <c r="CJ7" s="20" t="s">
        <v>8</v>
      </c>
      <c r="CK7" s="21" t="s">
        <v>9</v>
      </c>
      <c r="CL7" s="106" t="s">
        <v>21</v>
      </c>
      <c r="CM7" s="107"/>
      <c r="CO7" s="20" t="s">
        <v>204</v>
      </c>
      <c r="CP7" s="20" t="s">
        <v>205</v>
      </c>
      <c r="CQ7" s="20" t="s">
        <v>206</v>
      </c>
      <c r="CR7" s="21" t="s">
        <v>207</v>
      </c>
      <c r="CS7" s="106" t="s">
        <v>208</v>
      </c>
      <c r="CT7" s="107"/>
      <c r="CV7" s="52" t="s">
        <v>6</v>
      </c>
      <c r="CW7" s="52" t="s">
        <v>7</v>
      </c>
      <c r="CX7" s="52" t="s">
        <v>8</v>
      </c>
      <c r="CY7" s="53" t="s">
        <v>9</v>
      </c>
      <c r="CZ7" s="98" t="s">
        <v>21</v>
      </c>
      <c r="DA7" s="97"/>
      <c r="DC7" s="20" t="s">
        <v>6</v>
      </c>
      <c r="DD7" s="20" t="s">
        <v>7</v>
      </c>
      <c r="DE7" s="20" t="s">
        <v>8</v>
      </c>
      <c r="DF7" s="21" t="s">
        <v>9</v>
      </c>
      <c r="DG7" s="106" t="s">
        <v>21</v>
      </c>
      <c r="DH7" s="107"/>
      <c r="DJ7" s="68" t="s">
        <v>6</v>
      </c>
      <c r="DK7" s="68" t="s">
        <v>7</v>
      </c>
      <c r="DL7" s="69" t="s">
        <v>268</v>
      </c>
      <c r="DM7" s="69" t="s">
        <v>269</v>
      </c>
      <c r="DN7" s="69" t="s">
        <v>270</v>
      </c>
      <c r="DO7" s="69" t="s">
        <v>273</v>
      </c>
      <c r="DP7" s="69" t="s">
        <v>271</v>
      </c>
      <c r="DQ7" s="69" t="s">
        <v>272</v>
      </c>
      <c r="DS7" s="92" t="s">
        <v>291</v>
      </c>
      <c r="DT7" s="92" t="s">
        <v>292</v>
      </c>
    </row>
    <row r="8" spans="1:124" ht="17" thickBot="1" x14ac:dyDescent="0.25">
      <c r="A8" s="167" t="s">
        <v>94</v>
      </c>
      <c r="B8" s="9" t="s">
        <v>95</v>
      </c>
      <c r="C8" s="10" t="s">
        <v>96</v>
      </c>
      <c r="D8" s="11">
        <v>3210000</v>
      </c>
      <c r="E8" s="12">
        <f>(D8*19)/100</f>
        <v>609900</v>
      </c>
      <c r="F8" s="99">
        <f>D8+E8</f>
        <v>3819900</v>
      </c>
      <c r="G8" s="100"/>
      <c r="I8" s="9" t="s">
        <v>95</v>
      </c>
      <c r="J8" s="10" t="s">
        <v>96</v>
      </c>
      <c r="K8" s="11">
        <v>2548000</v>
      </c>
      <c r="L8" s="12">
        <v>0</v>
      </c>
      <c r="M8" s="99">
        <f>K8+L8</f>
        <v>2548000</v>
      </c>
      <c r="N8" s="100"/>
      <c r="P8" s="9" t="s">
        <v>95</v>
      </c>
      <c r="Q8" s="10" t="s">
        <v>96</v>
      </c>
      <c r="R8" s="11">
        <v>2650000</v>
      </c>
      <c r="S8" s="12">
        <v>0</v>
      </c>
      <c r="T8" s="155">
        <f>+R8+S8</f>
        <v>2650000</v>
      </c>
      <c r="U8" s="156"/>
      <c r="W8" s="9" t="s">
        <v>95</v>
      </c>
      <c r="X8" s="10" t="s">
        <v>96</v>
      </c>
      <c r="Y8" s="11">
        <v>1900000</v>
      </c>
      <c r="Z8" s="12">
        <v>0</v>
      </c>
      <c r="AA8" s="114">
        <f>Y8+Z8</f>
        <v>1900000</v>
      </c>
      <c r="AB8" s="115"/>
      <c r="AD8" s="9" t="s">
        <v>95</v>
      </c>
      <c r="AE8" s="10" t="s">
        <v>96</v>
      </c>
      <c r="AF8" s="11">
        <v>1730400</v>
      </c>
      <c r="AG8" s="12">
        <v>0</v>
      </c>
      <c r="AH8" s="99">
        <f>AF8+AG8</f>
        <v>1730400</v>
      </c>
      <c r="AI8" s="100"/>
      <c r="AK8" s="9" t="s">
        <v>95</v>
      </c>
      <c r="AL8" s="10" t="s">
        <v>96</v>
      </c>
      <c r="AM8" s="11">
        <v>770700000</v>
      </c>
      <c r="AN8" s="12">
        <v>0</v>
      </c>
      <c r="AO8" s="114">
        <f>+AM8/700</f>
        <v>1101000</v>
      </c>
      <c r="AP8" s="115"/>
      <c r="AR8" s="9" t="s">
        <v>95</v>
      </c>
      <c r="AS8" s="10" t="s">
        <v>96</v>
      </c>
      <c r="AT8" s="11">
        <v>1666921.3139801375</v>
      </c>
      <c r="AU8" s="12">
        <v>0</v>
      </c>
      <c r="AV8" s="114">
        <f>AT8+AU8</f>
        <v>1666921.3139801375</v>
      </c>
      <c r="AW8" s="115"/>
      <c r="AY8" s="54" t="s">
        <v>95</v>
      </c>
      <c r="AZ8" s="55" t="s">
        <v>96</v>
      </c>
      <c r="BA8" s="56">
        <v>5113825</v>
      </c>
      <c r="BB8" s="57">
        <v>0</v>
      </c>
      <c r="BC8" s="93">
        <f t="shared" ref="BC8:BC11" si="0">BA8+BB8</f>
        <v>5113825</v>
      </c>
      <c r="BD8" s="94"/>
      <c r="BF8" s="34" t="s">
        <v>95</v>
      </c>
      <c r="BG8" s="35" t="s">
        <v>96</v>
      </c>
      <c r="BH8" s="36">
        <v>6790000</v>
      </c>
      <c r="BI8" s="37">
        <v>0</v>
      </c>
      <c r="BJ8" s="142">
        <f>BH8+BI8</f>
        <v>6790000</v>
      </c>
      <c r="BK8" s="143"/>
      <c r="BM8" s="54" t="s">
        <v>95</v>
      </c>
      <c r="BN8" s="55" t="s">
        <v>96</v>
      </c>
      <c r="BO8" s="56">
        <v>5299274.2064988473</v>
      </c>
      <c r="BP8" s="57">
        <v>0</v>
      </c>
      <c r="BQ8" s="93">
        <f t="shared" ref="BQ8:BQ11" si="1">BO8+BP8</f>
        <v>5299274.2064988473</v>
      </c>
      <c r="BR8" s="94"/>
      <c r="BT8" s="9" t="s">
        <v>95</v>
      </c>
      <c r="BU8" s="10" t="s">
        <v>189</v>
      </c>
      <c r="BV8" s="11">
        <v>389100000</v>
      </c>
      <c r="BW8" s="12">
        <v>0</v>
      </c>
      <c r="BX8" s="114">
        <f>+BV8/245</f>
        <v>1588163.2653061224</v>
      </c>
      <c r="BY8" s="115"/>
      <c r="CA8" s="9" t="s">
        <v>95</v>
      </c>
      <c r="CB8" s="10" t="s">
        <v>96</v>
      </c>
      <c r="CC8" s="11">
        <v>1800000</v>
      </c>
      <c r="CD8" s="12">
        <f>CC8*0.19</f>
        <v>342000</v>
      </c>
      <c r="CE8" s="99">
        <f>CC8+CD8</f>
        <v>2142000</v>
      </c>
      <c r="CF8" s="100"/>
      <c r="CH8" s="9" t="s">
        <v>95</v>
      </c>
      <c r="CI8" s="10" t="s">
        <v>96</v>
      </c>
      <c r="CJ8" s="11">
        <v>3000000</v>
      </c>
      <c r="CK8" s="12">
        <v>0</v>
      </c>
      <c r="CL8" s="99">
        <f>CJ8+CK8</f>
        <v>3000000</v>
      </c>
      <c r="CM8" s="100"/>
      <c r="CO8" s="9" t="s">
        <v>209</v>
      </c>
      <c r="CP8" s="10" t="s">
        <v>210</v>
      </c>
      <c r="CQ8" s="11">
        <v>5200000</v>
      </c>
      <c r="CR8" s="12" t="s">
        <v>211</v>
      </c>
      <c r="CS8" s="99">
        <f>+CQ8</f>
        <v>5200000</v>
      </c>
      <c r="CT8" s="100"/>
      <c r="CV8" s="54" t="s">
        <v>95</v>
      </c>
      <c r="CW8" s="55" t="s">
        <v>96</v>
      </c>
      <c r="CX8" s="56">
        <v>3000000</v>
      </c>
      <c r="CY8" s="57">
        <v>0</v>
      </c>
      <c r="CZ8" s="93">
        <f t="shared" ref="CZ8:CZ11" si="2">CX8+CY8</f>
        <v>3000000</v>
      </c>
      <c r="DA8" s="94"/>
      <c r="DC8" s="9" t="s">
        <v>95</v>
      </c>
      <c r="DD8" s="10" t="s">
        <v>96</v>
      </c>
      <c r="DE8" s="11">
        <f>1165333.33333333*5/3</f>
        <v>1942222.2222222167</v>
      </c>
      <c r="DF8" s="12">
        <f>DE8*0.19</f>
        <v>369022.22222222114</v>
      </c>
      <c r="DG8" s="99">
        <f>DE8+DF8</f>
        <v>2311244.444444438</v>
      </c>
      <c r="DH8" s="100"/>
      <c r="DJ8" s="70" t="s">
        <v>95</v>
      </c>
      <c r="DK8" s="71" t="s">
        <v>96</v>
      </c>
      <c r="DL8" s="72">
        <f>+MAX(F8,M8,T8,AA8,AH8,AO8,AV8,BC8,BJ8,BQ8,BX8,CE8,CL8,CS8,CZ8,DG8)</f>
        <v>6790000</v>
      </c>
      <c r="DM8" s="72">
        <f>+MIN(F8,M8,T8,AA8,AH8,AO8,AV8,BC8,BJ8,BQ8,BX8,CE8,CL8,CS8,CZ8,DG8)</f>
        <v>1101000</v>
      </c>
      <c r="DN8" s="72">
        <f>+AVERAGE(F8,M8,T8,AA8,AH8,AO8,AV8,BC8,BJ8,BQ8,BX8,CE8,CL8,CS8,CZ8,DG8)</f>
        <v>3116295.5143893468</v>
      </c>
      <c r="DO8" s="72">
        <f>+TRIMMEAN((F8,M8,T8,AA8,AH8,AO8,AV8,BC8,BJ8,BQ8,BX8,CE8,CL8,CS8,CZ8,DG8),(2/16))</f>
        <v>2997837.7307306821</v>
      </c>
      <c r="DP8" s="72">
        <f>+MEDIAN(F8,M8,T8,AA8,AH8,AO8,AV8,BC8,BJ8,BQ8,BX8,CE8,CL8,CS8,CZ8,DG8)</f>
        <v>2599000</v>
      </c>
      <c r="DQ8" s="72">
        <f>IFERROR(MODE(F8,M8,T8,AA8,AH8,AO8,AV8,BC8,BJ8,BQ8,BX8,CE8,CL8,CS8,CZ8,DG8),"N/A")</f>
        <v>3000000</v>
      </c>
      <c r="DR8" s="88">
        <f>+STDEV(F8,M8,T8,AA8,AH8,AO8,AV8,BC8,BJ8,BQ8,BX8,CE8,CL8,CS8,CZ8,DG8)/DN8</f>
        <v>0.5315011856184656</v>
      </c>
      <c r="DS8" t="s">
        <v>176</v>
      </c>
      <c r="DT8" t="s">
        <v>165</v>
      </c>
    </row>
    <row r="9" spans="1:124" ht="17" thickBot="1" x14ac:dyDescent="0.25">
      <c r="A9" s="168"/>
      <c r="B9" s="9" t="s">
        <v>97</v>
      </c>
      <c r="C9" s="13" t="s">
        <v>98</v>
      </c>
      <c r="D9" s="11">
        <v>2252000</v>
      </c>
      <c r="E9" s="12">
        <f t="shared" ref="E9:E11" si="3">(D9*19)/100</f>
        <v>427880</v>
      </c>
      <c r="F9" s="99">
        <f t="shared" ref="F9:F11" si="4">D9+E9</f>
        <v>2679880</v>
      </c>
      <c r="G9" s="100"/>
      <c r="I9" s="9" t="s">
        <v>97</v>
      </c>
      <c r="J9" s="13" t="s">
        <v>98</v>
      </c>
      <c r="K9" s="11">
        <v>2527616</v>
      </c>
      <c r="L9" s="12">
        <v>0</v>
      </c>
      <c r="M9" s="99">
        <f t="shared" ref="M9:M11" si="5">K9+L9</f>
        <v>2527616</v>
      </c>
      <c r="N9" s="100"/>
      <c r="P9" s="9" t="s">
        <v>97</v>
      </c>
      <c r="Q9" s="13" t="s">
        <v>98</v>
      </c>
      <c r="R9" s="11">
        <v>2590000</v>
      </c>
      <c r="S9" s="12">
        <v>0</v>
      </c>
      <c r="T9" s="155">
        <f>+R9+S9</f>
        <v>2590000</v>
      </c>
      <c r="U9" s="156"/>
      <c r="W9" s="9" t="s">
        <v>97</v>
      </c>
      <c r="X9" s="13" t="s">
        <v>98</v>
      </c>
      <c r="Y9" s="11">
        <v>1085000</v>
      </c>
      <c r="Z9" s="12">
        <v>0</v>
      </c>
      <c r="AA9" s="114">
        <f t="shared" ref="AA9:AA11" si="6">Y9+Z9</f>
        <v>1085000</v>
      </c>
      <c r="AB9" s="115"/>
      <c r="AD9" s="9" t="s">
        <v>97</v>
      </c>
      <c r="AE9" s="13" t="s">
        <v>98</v>
      </c>
      <c r="AF9" s="11">
        <v>1648600</v>
      </c>
      <c r="AG9" s="12">
        <v>0</v>
      </c>
      <c r="AH9" s="99">
        <f t="shared" ref="AH9:AH11" si="7">AF9+AG9</f>
        <v>1648600</v>
      </c>
      <c r="AI9" s="100"/>
      <c r="AK9" s="9" t="s">
        <v>97</v>
      </c>
      <c r="AL9" s="13" t="s">
        <v>98</v>
      </c>
      <c r="AM9" s="11">
        <v>1397200000</v>
      </c>
      <c r="AN9" s="12">
        <v>0</v>
      </c>
      <c r="AO9" s="114">
        <f>+AM9/1400</f>
        <v>998000</v>
      </c>
      <c r="AP9" s="115"/>
      <c r="AR9" s="9" t="s">
        <v>97</v>
      </c>
      <c r="AS9" s="13" t="s">
        <v>98</v>
      </c>
      <c r="AT9" s="11">
        <v>1618370.2077477062</v>
      </c>
      <c r="AU9" s="12">
        <v>0</v>
      </c>
      <c r="AV9" s="114">
        <f t="shared" ref="AV9:AV11" si="8">AT9+AU9</f>
        <v>1618370.2077477062</v>
      </c>
      <c r="AW9" s="115"/>
      <c r="AY9" s="54" t="s">
        <v>97</v>
      </c>
      <c r="AZ9" s="58" t="s">
        <v>98</v>
      </c>
      <c r="BA9" s="56">
        <v>5053609</v>
      </c>
      <c r="BB9" s="57">
        <v>0</v>
      </c>
      <c r="BC9" s="93">
        <f t="shared" si="0"/>
        <v>5053609</v>
      </c>
      <c r="BD9" s="94"/>
      <c r="BF9" s="34" t="s">
        <v>97</v>
      </c>
      <c r="BG9" s="38" t="s">
        <v>98</v>
      </c>
      <c r="BH9" s="36">
        <v>5800000</v>
      </c>
      <c r="BI9" s="37">
        <v>0</v>
      </c>
      <c r="BJ9" s="142">
        <f t="shared" ref="BJ9:BJ11" si="9">BH9+BI9</f>
        <v>5800000</v>
      </c>
      <c r="BK9" s="143"/>
      <c r="BM9" s="54" t="s">
        <v>97</v>
      </c>
      <c r="BN9" s="58" t="s">
        <v>98</v>
      </c>
      <c r="BO9" s="56">
        <v>5236828.0918191392</v>
      </c>
      <c r="BP9" s="57">
        <v>0</v>
      </c>
      <c r="BQ9" s="93">
        <f t="shared" si="1"/>
        <v>5236828.0918191392</v>
      </c>
      <c r="BR9" s="94"/>
      <c r="BT9" s="9" t="s">
        <v>97</v>
      </c>
      <c r="BU9" s="13" t="s">
        <v>98</v>
      </c>
      <c r="BV9" s="11">
        <v>0</v>
      </c>
      <c r="BW9" s="12">
        <v>0</v>
      </c>
      <c r="BX9" s="151">
        <f t="shared" ref="BX9:BX11" si="10">BV9+BW9</f>
        <v>0</v>
      </c>
      <c r="BY9" s="152"/>
      <c r="CA9" s="9" t="s">
        <v>97</v>
      </c>
      <c r="CB9" s="13" t="s">
        <v>98</v>
      </c>
      <c r="CC9" s="11">
        <v>1700000</v>
      </c>
      <c r="CD9" s="12">
        <f t="shared" ref="CD9:CD11" si="11">CC9*0.19</f>
        <v>323000</v>
      </c>
      <c r="CE9" s="99">
        <f t="shared" ref="CE9:CE11" si="12">CC9+CD9</f>
        <v>2023000</v>
      </c>
      <c r="CF9" s="100"/>
      <c r="CH9" s="9" t="s">
        <v>97</v>
      </c>
      <c r="CI9" s="13" t="s">
        <v>98</v>
      </c>
      <c r="CJ9" s="11">
        <v>2800000</v>
      </c>
      <c r="CK9" s="12">
        <v>0</v>
      </c>
      <c r="CL9" s="99">
        <f>CJ9+CK9</f>
        <v>2800000</v>
      </c>
      <c r="CM9" s="100"/>
      <c r="CO9" s="9" t="s">
        <v>212</v>
      </c>
      <c r="CP9" s="13" t="s">
        <v>213</v>
      </c>
      <c r="CQ9" s="11">
        <v>4400000</v>
      </c>
      <c r="CR9" s="12" t="s">
        <v>211</v>
      </c>
      <c r="CS9" s="99">
        <v>4400000</v>
      </c>
      <c r="CT9" s="100"/>
      <c r="CV9" s="54" t="s">
        <v>97</v>
      </c>
      <c r="CW9" s="58" t="s">
        <v>98</v>
      </c>
      <c r="CX9" s="56">
        <v>3000000</v>
      </c>
      <c r="CY9" s="57">
        <v>0</v>
      </c>
      <c r="CZ9" s="93">
        <f t="shared" si="2"/>
        <v>3000000</v>
      </c>
      <c r="DA9" s="94"/>
      <c r="DC9" s="9" t="s">
        <v>97</v>
      </c>
      <c r="DD9" s="13" t="s">
        <v>98</v>
      </c>
      <c r="DE9" s="11">
        <f>526333.333333333*5/3</f>
        <v>877222.22222222167</v>
      </c>
      <c r="DF9" s="12">
        <f>DE9*0.19</f>
        <v>166672.22222222213</v>
      </c>
      <c r="DG9" s="99">
        <f t="shared" ref="DG9:DG11" si="13">DE9+DF9</f>
        <v>1043894.4444444438</v>
      </c>
      <c r="DH9" s="100"/>
      <c r="DJ9" s="70" t="s">
        <v>97</v>
      </c>
      <c r="DK9" s="71" t="s">
        <v>98</v>
      </c>
      <c r="DL9" s="72">
        <f>+MAX(F9,M9,T9,AA9,AH9,AO9,AV9,BC9,BJ9,BQ9,CE9,CL9,CS9,CZ9,DG9)</f>
        <v>5800000</v>
      </c>
      <c r="DM9" s="72">
        <f>+MIN(F9,M9,T9,AA9,AH9,AO9,AV9,BC9,BJ9,BQ9,CE9,CL9,CS9,CZ9,DG9)</f>
        <v>998000</v>
      </c>
      <c r="DN9" s="72">
        <f>+AVERAGE(F9,M9,T9,AA9,AH9,AO9,AV9,BC9,BJ9,BQ9,CE9,CL9,CS9,CZ9,DG9)</f>
        <v>2833653.1829340854</v>
      </c>
      <c r="DO9" s="72">
        <f>+TRIMMEAN((F9,M9,T9,AA9,AH9,AO9,AV9,BC9,BJ9,BQ9,CE9,CL9,CS9,CZ9,DG9),(2/15))</f>
        <v>2746676.7495393297</v>
      </c>
      <c r="DP9" s="72">
        <f>+MEDIAN(F9,M9,T9,AA9,AH9,AO9,AV9,BC9,BJ9,BQ9,CE9,CL9,CS9,CZ9,DG9)</f>
        <v>2590000</v>
      </c>
      <c r="DQ9" s="86" t="str">
        <f>IFERROR(MODE(F9,M9,T9,AA9,AH9,AO9,AV9,BC9,BJ9,BQ9,CE9,CL9,CS9,CZ9,DG9),"N/A")</f>
        <v>N/A</v>
      </c>
      <c r="DR9" s="88">
        <f>+STDEV(F9,M9,T9,AA9,AH9,AO9,AV9,BC9,BJ9,BQ9,CE9,CL9,CS9,CZ9,DG9)/DN9</f>
        <v>0.56061553270941633</v>
      </c>
      <c r="DS9" t="s">
        <v>176</v>
      </c>
      <c r="DT9" t="s">
        <v>165</v>
      </c>
    </row>
    <row r="10" spans="1:124" ht="17" thickBot="1" x14ac:dyDescent="0.25">
      <c r="A10" s="168"/>
      <c r="B10" s="9" t="s">
        <v>99</v>
      </c>
      <c r="C10" s="13" t="s">
        <v>100</v>
      </c>
      <c r="D10" s="11">
        <v>1916000</v>
      </c>
      <c r="E10" s="12">
        <f t="shared" si="3"/>
        <v>364040</v>
      </c>
      <c r="F10" s="99">
        <f t="shared" si="4"/>
        <v>2280040</v>
      </c>
      <c r="G10" s="100"/>
      <c r="I10" s="9" t="s">
        <v>99</v>
      </c>
      <c r="J10" s="13" t="s">
        <v>100</v>
      </c>
      <c r="K10" s="11">
        <v>2519972.0000000005</v>
      </c>
      <c r="L10" s="12">
        <v>0</v>
      </c>
      <c r="M10" s="99">
        <f t="shared" si="5"/>
        <v>2519972.0000000005</v>
      </c>
      <c r="N10" s="100"/>
      <c r="P10" s="9" t="s">
        <v>99</v>
      </c>
      <c r="Q10" s="13" t="s">
        <v>100</v>
      </c>
      <c r="R10" s="11">
        <v>2470000</v>
      </c>
      <c r="S10" s="12">
        <v>0</v>
      </c>
      <c r="T10" s="155">
        <f>+R10+S10</f>
        <v>2470000</v>
      </c>
      <c r="U10" s="156"/>
      <c r="W10" s="9" t="s">
        <v>99</v>
      </c>
      <c r="X10" s="13" t="s">
        <v>100</v>
      </c>
      <c r="Y10" s="11">
        <v>1714750</v>
      </c>
      <c r="Z10" s="12">
        <v>0</v>
      </c>
      <c r="AA10" s="114">
        <f t="shared" si="6"/>
        <v>1714750</v>
      </c>
      <c r="AB10" s="115"/>
      <c r="AD10" s="9" t="s">
        <v>99</v>
      </c>
      <c r="AE10" s="13" t="s">
        <v>100</v>
      </c>
      <c r="AF10" s="11">
        <v>1566900</v>
      </c>
      <c r="AG10" s="12">
        <v>0</v>
      </c>
      <c r="AH10" s="99">
        <f t="shared" si="7"/>
        <v>1566900</v>
      </c>
      <c r="AI10" s="100"/>
      <c r="AK10" s="9" t="s">
        <v>99</v>
      </c>
      <c r="AL10" s="13" t="s">
        <v>100</v>
      </c>
      <c r="AM10" s="11">
        <v>1449000000</v>
      </c>
      <c r="AN10" s="12">
        <v>0</v>
      </c>
      <c r="AO10" s="114">
        <f>+AM10/2000</f>
        <v>724500</v>
      </c>
      <c r="AP10" s="115"/>
      <c r="AR10" s="9" t="s">
        <v>99</v>
      </c>
      <c r="AS10" s="13" t="s">
        <v>100</v>
      </c>
      <c r="AT10" s="11">
        <v>1602808.9557501322</v>
      </c>
      <c r="AU10" s="12">
        <v>0</v>
      </c>
      <c r="AV10" s="114">
        <f t="shared" si="8"/>
        <v>1602808.9557501322</v>
      </c>
      <c r="AW10" s="115"/>
      <c r="AY10" s="54" t="s">
        <v>99</v>
      </c>
      <c r="AZ10" s="58" t="s">
        <v>100</v>
      </c>
      <c r="BA10" s="56">
        <v>4987217</v>
      </c>
      <c r="BB10" s="57">
        <v>0</v>
      </c>
      <c r="BC10" s="93">
        <f t="shared" si="0"/>
        <v>4987217</v>
      </c>
      <c r="BD10" s="94"/>
      <c r="BF10" s="34" t="s">
        <v>99</v>
      </c>
      <c r="BG10" s="38" t="s">
        <v>100</v>
      </c>
      <c r="BH10" s="36">
        <v>5800000</v>
      </c>
      <c r="BI10" s="37">
        <v>0</v>
      </c>
      <c r="BJ10" s="142">
        <f t="shared" si="9"/>
        <v>5800000</v>
      </c>
      <c r="BK10" s="143"/>
      <c r="BM10" s="54" t="s">
        <v>99</v>
      </c>
      <c r="BN10" s="58" t="s">
        <v>100</v>
      </c>
      <c r="BO10" s="56">
        <v>5168000.9878585134</v>
      </c>
      <c r="BP10" s="57">
        <v>0</v>
      </c>
      <c r="BQ10" s="93">
        <f t="shared" si="1"/>
        <v>5168000.9878585134</v>
      </c>
      <c r="BR10" s="94"/>
      <c r="BT10" s="9" t="s">
        <v>99</v>
      </c>
      <c r="BU10" s="13" t="s">
        <v>100</v>
      </c>
      <c r="BV10" s="11">
        <v>0</v>
      </c>
      <c r="BW10" s="12">
        <v>0</v>
      </c>
      <c r="BX10" s="151">
        <f t="shared" si="10"/>
        <v>0</v>
      </c>
      <c r="BY10" s="152"/>
      <c r="CA10" s="9" t="s">
        <v>99</v>
      </c>
      <c r="CB10" s="13" t="s">
        <v>100</v>
      </c>
      <c r="CC10" s="11">
        <v>1600000</v>
      </c>
      <c r="CD10" s="12">
        <f t="shared" si="11"/>
        <v>304000</v>
      </c>
      <c r="CE10" s="99">
        <f t="shared" si="12"/>
        <v>1904000</v>
      </c>
      <c r="CF10" s="100"/>
      <c r="CH10" s="9" t="s">
        <v>99</v>
      </c>
      <c r="CI10" s="13" t="s">
        <v>100</v>
      </c>
      <c r="CJ10" s="11">
        <v>2720000</v>
      </c>
      <c r="CK10" s="12">
        <v>0</v>
      </c>
      <c r="CL10" s="99">
        <f>CJ10+CK10</f>
        <v>2720000</v>
      </c>
      <c r="CM10" s="100"/>
      <c r="CO10" s="9" t="s">
        <v>214</v>
      </c>
      <c r="CP10" s="13" t="s">
        <v>215</v>
      </c>
      <c r="CQ10" s="11">
        <v>4000000</v>
      </c>
      <c r="CR10" s="12" t="s">
        <v>211</v>
      </c>
      <c r="CS10" s="99">
        <v>4000000</v>
      </c>
      <c r="CT10" s="100"/>
      <c r="CV10" s="54" t="s">
        <v>99</v>
      </c>
      <c r="CW10" s="58" t="s">
        <v>100</v>
      </c>
      <c r="CX10" s="56">
        <v>3000000</v>
      </c>
      <c r="CY10" s="57">
        <v>0</v>
      </c>
      <c r="CZ10" s="93">
        <f t="shared" si="2"/>
        <v>3000000</v>
      </c>
      <c r="DA10" s="94"/>
      <c r="DC10" s="9" t="s">
        <v>99</v>
      </c>
      <c r="DD10" s="13" t="s">
        <v>100</v>
      </c>
      <c r="DE10" s="11">
        <f>DE9</f>
        <v>877222.22222222167</v>
      </c>
      <c r="DF10" s="12">
        <f>DE10*0.19</f>
        <v>166672.22222222213</v>
      </c>
      <c r="DG10" s="99">
        <f t="shared" si="13"/>
        <v>1043894.4444444438</v>
      </c>
      <c r="DH10" s="100"/>
      <c r="DJ10" s="70" t="s">
        <v>99</v>
      </c>
      <c r="DK10" s="71" t="s">
        <v>100</v>
      </c>
      <c r="DL10" s="72">
        <f t="shared" ref="DL10:DL11" si="14">+MAX(F10,M10,T10,AA10,AH10,AO10,AV10,BC10,BJ10,BQ10,CE10,CL10,CS10,CZ10,DG10)</f>
        <v>5800000</v>
      </c>
      <c r="DM10" s="72">
        <f t="shared" ref="DM10:DM11" si="15">+MIN(F10,M10,T10,AA10,AH10,AO10,AV10,BC10,BJ10,BQ10,CE10,CL10,CS10,CZ10,DG10)</f>
        <v>724500</v>
      </c>
      <c r="DN10" s="72">
        <f t="shared" ref="DN10:DN11" si="16">+AVERAGE(F10,M10,T10,AA10,AH10,AO10,AV10,BC10,BJ10,BQ10,CE10,CL10,CS10,CZ10,DG10)</f>
        <v>2766805.5592035386</v>
      </c>
      <c r="DO10" s="72">
        <f>+TRIMMEAN((F10,M10,T10,AA10,AH10,AO10,AV10,BC10,BJ10,BQ10,CE10,CL10,CS10,CZ10,DG10),(2/15))</f>
        <v>2690583.3375425446</v>
      </c>
      <c r="DP10" s="72">
        <f t="shared" ref="DP10:DP11" si="17">+MEDIAN(F10,M10,T10,AA10,AH10,AO10,AV10,BC10,BJ10,BQ10,CE10,CL10,CS10,CZ10,DG10)</f>
        <v>2470000</v>
      </c>
      <c r="DQ10" s="86" t="str">
        <f t="shared" ref="DQ10:DQ11" si="18">IFERROR(MODE(F10,M10,T10,AA10,AH10,AO10,AV10,BC10,BJ10,BQ10,CE10,CL10,CS10,CZ10,DG10),"N/A")</f>
        <v>N/A</v>
      </c>
      <c r="DR10" s="88">
        <f>+STDEV(F10,M10,T10,AA10,AH10,AO10,AV10,BC10,BJ10,BQ10,CE10,CL10,CS10,CZ10,DG10)/DN10</f>
        <v>0.56029515818678521</v>
      </c>
      <c r="DS10" t="s">
        <v>176</v>
      </c>
      <c r="DT10" t="s">
        <v>165</v>
      </c>
    </row>
    <row r="11" spans="1:124" ht="17" customHeight="1" thickBot="1" x14ac:dyDescent="0.25">
      <c r="A11" s="169"/>
      <c r="B11" s="9" t="s">
        <v>101</v>
      </c>
      <c r="C11" s="14" t="s">
        <v>102</v>
      </c>
      <c r="D11" s="11">
        <v>1854000</v>
      </c>
      <c r="E11" s="12">
        <f t="shared" si="3"/>
        <v>352260</v>
      </c>
      <c r="F11" s="99">
        <f t="shared" si="4"/>
        <v>2206260</v>
      </c>
      <c r="G11" s="100"/>
      <c r="I11" s="9" t="s">
        <v>101</v>
      </c>
      <c r="J11" s="14" t="s">
        <v>102</v>
      </c>
      <c r="K11" s="11">
        <v>2471560</v>
      </c>
      <c r="L11" s="12">
        <v>0</v>
      </c>
      <c r="M11" s="99">
        <f t="shared" si="5"/>
        <v>2471560</v>
      </c>
      <c r="N11" s="100"/>
      <c r="P11" s="9" t="s">
        <v>101</v>
      </c>
      <c r="Q11" s="14" t="s">
        <v>102</v>
      </c>
      <c r="R11" s="11">
        <v>2400000</v>
      </c>
      <c r="S11" s="12">
        <v>0</v>
      </c>
      <c r="T11" s="155">
        <f>+R11+S11</f>
        <v>2400000</v>
      </c>
      <c r="U11" s="156"/>
      <c r="W11" s="9" t="s">
        <v>101</v>
      </c>
      <c r="X11" s="14" t="s">
        <v>102</v>
      </c>
      <c r="Y11" s="11">
        <v>1627012</v>
      </c>
      <c r="Z11" s="12">
        <v>0</v>
      </c>
      <c r="AA11" s="114">
        <f t="shared" si="6"/>
        <v>1627012</v>
      </c>
      <c r="AB11" s="115"/>
      <c r="AD11" s="9" t="s">
        <v>101</v>
      </c>
      <c r="AE11" s="14" t="s">
        <v>102</v>
      </c>
      <c r="AF11" s="11">
        <v>1534200</v>
      </c>
      <c r="AG11" s="12">
        <v>0</v>
      </c>
      <c r="AH11" s="99">
        <f t="shared" si="7"/>
        <v>1534200</v>
      </c>
      <c r="AI11" s="100"/>
      <c r="AK11" s="9" t="s">
        <v>101</v>
      </c>
      <c r="AL11" s="14" t="s">
        <v>102</v>
      </c>
      <c r="AM11" s="11">
        <v>1449000000</v>
      </c>
      <c r="AN11" s="12">
        <v>0</v>
      </c>
      <c r="AO11" s="114">
        <f>+AM11/2001</f>
        <v>724137.93103448278</v>
      </c>
      <c r="AP11" s="115"/>
      <c r="AR11" s="9" t="s">
        <v>101</v>
      </c>
      <c r="AS11" s="14" t="s">
        <v>102</v>
      </c>
      <c r="AT11" s="11">
        <v>1587544.1085525118</v>
      </c>
      <c r="AU11" s="12">
        <v>0</v>
      </c>
      <c r="AV11" s="114">
        <f t="shared" si="8"/>
        <v>1587544.1085525118</v>
      </c>
      <c r="AW11" s="115"/>
      <c r="AY11" s="54" t="s">
        <v>101</v>
      </c>
      <c r="AZ11" s="59" t="s">
        <v>102</v>
      </c>
      <c r="BA11" s="56">
        <v>4905771</v>
      </c>
      <c r="BB11" s="57">
        <v>0</v>
      </c>
      <c r="BC11" s="93">
        <f t="shared" si="0"/>
        <v>4905771</v>
      </c>
      <c r="BD11" s="94"/>
      <c r="BF11" s="34" t="s">
        <v>101</v>
      </c>
      <c r="BG11" s="39" t="s">
        <v>102</v>
      </c>
      <c r="BH11" s="36">
        <v>5700000</v>
      </c>
      <c r="BI11" s="37">
        <v>0</v>
      </c>
      <c r="BJ11" s="142">
        <f t="shared" si="9"/>
        <v>5700000</v>
      </c>
      <c r="BK11" s="143"/>
      <c r="BM11" s="54" t="s">
        <v>101</v>
      </c>
      <c r="BN11" s="59" t="s">
        <v>102</v>
      </c>
      <c r="BO11" s="56">
        <v>5083650.5542209325</v>
      </c>
      <c r="BP11" s="57">
        <v>0</v>
      </c>
      <c r="BQ11" s="93">
        <f t="shared" si="1"/>
        <v>5083650.5542209325</v>
      </c>
      <c r="BR11" s="94"/>
      <c r="BT11" s="9" t="s">
        <v>101</v>
      </c>
      <c r="BU11" s="14" t="s">
        <v>102</v>
      </c>
      <c r="BV11" s="11">
        <v>0</v>
      </c>
      <c r="BW11" s="12">
        <v>0</v>
      </c>
      <c r="BX11" s="151">
        <f t="shared" si="10"/>
        <v>0</v>
      </c>
      <c r="BY11" s="152"/>
      <c r="CA11" s="9" t="s">
        <v>101</v>
      </c>
      <c r="CB11" s="14" t="s">
        <v>102</v>
      </c>
      <c r="CC11" s="11">
        <v>1500000</v>
      </c>
      <c r="CD11" s="12">
        <f t="shared" si="11"/>
        <v>285000</v>
      </c>
      <c r="CE11" s="99">
        <f t="shared" si="12"/>
        <v>1785000</v>
      </c>
      <c r="CF11" s="100"/>
      <c r="CH11" s="9" t="s">
        <v>101</v>
      </c>
      <c r="CI11" s="14" t="s">
        <v>102</v>
      </c>
      <c r="CJ11" s="11">
        <v>2700000</v>
      </c>
      <c r="CK11" s="12">
        <v>0</v>
      </c>
      <c r="CL11" s="99">
        <f>CJ11+CK11</f>
        <v>2700000</v>
      </c>
      <c r="CM11" s="100"/>
      <c r="CO11" s="9" t="s">
        <v>216</v>
      </c>
      <c r="CP11" s="14" t="s">
        <v>217</v>
      </c>
      <c r="CQ11" s="11">
        <v>3800000</v>
      </c>
      <c r="CR11" s="12" t="s">
        <v>211</v>
      </c>
      <c r="CS11" s="99">
        <v>3800000</v>
      </c>
      <c r="CT11" s="100"/>
      <c r="CV11" s="54" t="s">
        <v>101</v>
      </c>
      <c r="CW11" s="59" t="s">
        <v>102</v>
      </c>
      <c r="CX11" s="56">
        <v>3000000</v>
      </c>
      <c r="CY11" s="57">
        <v>0</v>
      </c>
      <c r="CZ11" s="93">
        <f t="shared" si="2"/>
        <v>3000000</v>
      </c>
      <c r="DA11" s="94"/>
      <c r="DC11" s="9" t="s">
        <v>101</v>
      </c>
      <c r="DD11" s="14" t="s">
        <v>102</v>
      </c>
      <c r="DE11" s="11">
        <f>DE10</f>
        <v>877222.22222222167</v>
      </c>
      <c r="DF11" s="12">
        <f>DE11*0.19</f>
        <v>166672.22222222213</v>
      </c>
      <c r="DG11" s="99">
        <f t="shared" si="13"/>
        <v>1043894.4444444438</v>
      </c>
      <c r="DH11" s="100"/>
      <c r="DJ11" s="70" t="s">
        <v>101</v>
      </c>
      <c r="DK11" s="71" t="s">
        <v>102</v>
      </c>
      <c r="DL11" s="72">
        <f t="shared" si="14"/>
        <v>5700000</v>
      </c>
      <c r="DM11" s="72">
        <f t="shared" si="15"/>
        <v>724137.93103448278</v>
      </c>
      <c r="DN11" s="72">
        <f t="shared" si="16"/>
        <v>2704602.0025501577</v>
      </c>
      <c r="DO11" s="72">
        <f>+TRIMMEAN((F11,M11,T11,AA11,AH11,AO11,AV11,BC11,BJ11,BQ11,CE11,CL11,CS11,CZ11,DG11),(2/15))</f>
        <v>2626530.1620936836</v>
      </c>
      <c r="DP11" s="72">
        <f t="shared" si="17"/>
        <v>2400000</v>
      </c>
      <c r="DQ11" s="86" t="str">
        <f t="shared" si="18"/>
        <v>N/A</v>
      </c>
      <c r="DR11" s="88">
        <f>+STDEV(F11,M11,T11,AA11,AH11,AO11,AV11,BC11,BJ11,BQ11,CE11,CL11,CS11,CZ11,DG11)/DN11</f>
        <v>0.56303925999392268</v>
      </c>
      <c r="DS11" t="s">
        <v>176</v>
      </c>
      <c r="DT11" t="s">
        <v>165</v>
      </c>
    </row>
    <row r="12" spans="1:124" ht="46" thickBot="1" x14ac:dyDescent="0.25">
      <c r="A12" s="1" t="s">
        <v>91</v>
      </c>
      <c r="B12" s="103" t="s">
        <v>92</v>
      </c>
      <c r="C12" s="104"/>
      <c r="D12" s="104"/>
      <c r="E12" s="105"/>
      <c r="F12" s="18" t="s">
        <v>3</v>
      </c>
      <c r="G12" s="19" t="s">
        <v>27</v>
      </c>
      <c r="I12" s="103" t="s">
        <v>92</v>
      </c>
      <c r="J12" s="104"/>
      <c r="K12" s="104"/>
      <c r="L12" s="105"/>
      <c r="M12" s="18" t="s">
        <v>3</v>
      </c>
      <c r="N12" s="19" t="s">
        <v>27</v>
      </c>
      <c r="P12" s="15" t="s">
        <v>92</v>
      </c>
      <c r="Q12" s="16"/>
      <c r="R12" s="16"/>
      <c r="S12" s="17"/>
      <c r="T12" s="18" t="s">
        <v>3</v>
      </c>
      <c r="U12" s="19" t="s">
        <v>27</v>
      </c>
      <c r="W12" s="103" t="s">
        <v>92</v>
      </c>
      <c r="X12" s="104"/>
      <c r="Y12" s="104"/>
      <c r="Z12" s="105"/>
      <c r="AA12" s="18" t="s">
        <v>3</v>
      </c>
      <c r="AB12" s="19" t="s">
        <v>27</v>
      </c>
      <c r="AD12" s="103" t="s">
        <v>92</v>
      </c>
      <c r="AE12" s="104"/>
      <c r="AF12" s="104"/>
      <c r="AG12" s="105"/>
      <c r="AH12" s="18" t="s">
        <v>3</v>
      </c>
      <c r="AI12" s="19" t="s">
        <v>27</v>
      </c>
      <c r="AK12" s="103" t="s">
        <v>92</v>
      </c>
      <c r="AL12" s="104"/>
      <c r="AM12" s="104"/>
      <c r="AN12" s="105"/>
      <c r="AO12" s="18" t="s">
        <v>3</v>
      </c>
      <c r="AP12" s="19" t="s">
        <v>27</v>
      </c>
      <c r="AR12" s="103" t="s">
        <v>92</v>
      </c>
      <c r="AS12" s="104"/>
      <c r="AT12" s="104"/>
      <c r="AU12" s="105"/>
      <c r="AV12" s="18" t="s">
        <v>3</v>
      </c>
      <c r="AW12" s="19" t="s">
        <v>27</v>
      </c>
      <c r="AY12" s="95" t="s">
        <v>92</v>
      </c>
      <c r="AZ12" s="96"/>
      <c r="BA12" s="96"/>
      <c r="BB12" s="97"/>
      <c r="BC12" s="60" t="s">
        <v>3</v>
      </c>
      <c r="BD12" s="61" t="s">
        <v>27</v>
      </c>
      <c r="BF12" s="144" t="s">
        <v>92</v>
      </c>
      <c r="BG12" s="145"/>
      <c r="BH12" s="145"/>
      <c r="BI12" s="146"/>
      <c r="BJ12" s="40" t="s">
        <v>3</v>
      </c>
      <c r="BK12" s="41" t="s">
        <v>27</v>
      </c>
      <c r="BM12" s="95" t="s">
        <v>92</v>
      </c>
      <c r="BN12" s="96"/>
      <c r="BO12" s="96"/>
      <c r="BP12" s="97"/>
      <c r="BQ12" s="60" t="s">
        <v>3</v>
      </c>
      <c r="BR12" s="61" t="s">
        <v>27</v>
      </c>
      <c r="BT12" s="103" t="s">
        <v>92</v>
      </c>
      <c r="BU12" s="104"/>
      <c r="BV12" s="104"/>
      <c r="BW12" s="105"/>
      <c r="BX12" s="18" t="s">
        <v>3</v>
      </c>
      <c r="BY12" s="19" t="s">
        <v>27</v>
      </c>
      <c r="CA12" s="103" t="s">
        <v>92</v>
      </c>
      <c r="CB12" s="104"/>
      <c r="CC12" s="104"/>
      <c r="CD12" s="105"/>
      <c r="CE12" s="18" t="s">
        <v>3</v>
      </c>
      <c r="CF12" s="19" t="s">
        <v>27</v>
      </c>
      <c r="CH12" s="103" t="s">
        <v>92</v>
      </c>
      <c r="CI12" s="104"/>
      <c r="CJ12" s="104"/>
      <c r="CK12" s="105"/>
      <c r="CL12" s="18" t="s">
        <v>3</v>
      </c>
      <c r="CM12" s="19" t="s">
        <v>27</v>
      </c>
      <c r="CO12" s="103" t="s">
        <v>201</v>
      </c>
      <c r="CP12" s="104"/>
      <c r="CQ12" s="104"/>
      <c r="CR12" s="105"/>
      <c r="CS12" s="18" t="s">
        <v>202</v>
      </c>
      <c r="CT12" s="19" t="s">
        <v>218</v>
      </c>
      <c r="CV12" s="95" t="s">
        <v>92</v>
      </c>
      <c r="CW12" s="96"/>
      <c r="CX12" s="96"/>
      <c r="CY12" s="97"/>
      <c r="CZ12" s="60" t="s">
        <v>3</v>
      </c>
      <c r="DA12" s="61" t="s">
        <v>27</v>
      </c>
      <c r="DC12" s="103" t="s">
        <v>92</v>
      </c>
      <c r="DD12" s="104"/>
      <c r="DE12" s="104"/>
      <c r="DF12" s="105"/>
      <c r="DG12" s="18" t="s">
        <v>3</v>
      </c>
      <c r="DH12" s="19" t="s">
        <v>27</v>
      </c>
    </row>
    <row r="13" spans="1:124" ht="46" thickBot="1" x14ac:dyDescent="0.25">
      <c r="A13" s="3" t="s">
        <v>103</v>
      </c>
      <c r="B13" s="20" t="s">
        <v>6</v>
      </c>
      <c r="C13" s="20" t="s">
        <v>7</v>
      </c>
      <c r="D13" s="20" t="s">
        <v>8</v>
      </c>
      <c r="E13" s="21" t="s">
        <v>9</v>
      </c>
      <c r="F13" s="106" t="s">
        <v>21</v>
      </c>
      <c r="G13" s="107"/>
      <c r="I13" s="20" t="s">
        <v>6</v>
      </c>
      <c r="J13" s="20" t="s">
        <v>7</v>
      </c>
      <c r="K13" s="20" t="s">
        <v>8</v>
      </c>
      <c r="L13" s="21" t="s">
        <v>9</v>
      </c>
      <c r="M13" s="106" t="s">
        <v>21</v>
      </c>
      <c r="N13" s="107"/>
      <c r="P13" s="20" t="s">
        <v>6</v>
      </c>
      <c r="Q13" s="20" t="s">
        <v>7</v>
      </c>
      <c r="R13" s="20" t="s">
        <v>8</v>
      </c>
      <c r="S13" s="21" t="s">
        <v>9</v>
      </c>
      <c r="T13" s="22" t="s">
        <v>21</v>
      </c>
      <c r="U13" s="23"/>
      <c r="W13" s="20" t="s">
        <v>6</v>
      </c>
      <c r="X13" s="20" t="s">
        <v>7</v>
      </c>
      <c r="Y13" s="20" t="s">
        <v>8</v>
      </c>
      <c r="Z13" s="21" t="s">
        <v>9</v>
      </c>
      <c r="AA13" s="106" t="s">
        <v>21</v>
      </c>
      <c r="AB13" s="107"/>
      <c r="AD13" s="20" t="s">
        <v>6</v>
      </c>
      <c r="AE13" s="20" t="s">
        <v>7</v>
      </c>
      <c r="AF13" s="20" t="s">
        <v>8</v>
      </c>
      <c r="AG13" s="21" t="s">
        <v>9</v>
      </c>
      <c r="AH13" s="106" t="s">
        <v>21</v>
      </c>
      <c r="AI13" s="107"/>
      <c r="AK13" s="20" t="s">
        <v>6</v>
      </c>
      <c r="AL13" s="20" t="s">
        <v>7</v>
      </c>
      <c r="AM13" s="20" t="s">
        <v>8</v>
      </c>
      <c r="AN13" s="21" t="s">
        <v>9</v>
      </c>
      <c r="AO13" s="106" t="s">
        <v>21</v>
      </c>
      <c r="AP13" s="107"/>
      <c r="AR13" s="20" t="s">
        <v>6</v>
      </c>
      <c r="AS13" s="20" t="s">
        <v>7</v>
      </c>
      <c r="AT13" s="20" t="s">
        <v>8</v>
      </c>
      <c r="AU13" s="21" t="s">
        <v>9</v>
      </c>
      <c r="AV13" s="106" t="s">
        <v>21</v>
      </c>
      <c r="AW13" s="107"/>
      <c r="AY13" s="52" t="s">
        <v>6</v>
      </c>
      <c r="AZ13" s="52" t="s">
        <v>7</v>
      </c>
      <c r="BA13" s="52" t="s">
        <v>8</v>
      </c>
      <c r="BB13" s="53" t="s">
        <v>9</v>
      </c>
      <c r="BC13" s="98" t="s">
        <v>21</v>
      </c>
      <c r="BD13" s="97"/>
      <c r="BF13" s="42" t="s">
        <v>6</v>
      </c>
      <c r="BG13" s="42" t="s">
        <v>7</v>
      </c>
      <c r="BH13" s="42" t="s">
        <v>8</v>
      </c>
      <c r="BI13" s="43" t="s">
        <v>9</v>
      </c>
      <c r="BJ13" s="147" t="s">
        <v>21</v>
      </c>
      <c r="BK13" s="148"/>
      <c r="BM13" s="52" t="s">
        <v>6</v>
      </c>
      <c r="BN13" s="52" t="s">
        <v>7</v>
      </c>
      <c r="BO13" s="52" t="s">
        <v>8</v>
      </c>
      <c r="BP13" s="53" t="s">
        <v>9</v>
      </c>
      <c r="BQ13" s="98" t="s">
        <v>21</v>
      </c>
      <c r="BR13" s="97"/>
      <c r="BT13" s="20" t="s">
        <v>6</v>
      </c>
      <c r="BU13" s="20" t="s">
        <v>7</v>
      </c>
      <c r="BV13" s="20" t="s">
        <v>8</v>
      </c>
      <c r="BW13" s="21" t="s">
        <v>9</v>
      </c>
      <c r="BX13" s="106" t="s">
        <v>21</v>
      </c>
      <c r="BY13" s="107"/>
      <c r="CA13" s="20" t="s">
        <v>6</v>
      </c>
      <c r="CB13" s="20" t="s">
        <v>7</v>
      </c>
      <c r="CC13" s="20" t="s">
        <v>8</v>
      </c>
      <c r="CD13" s="21" t="s">
        <v>9</v>
      </c>
      <c r="CE13" s="106" t="s">
        <v>21</v>
      </c>
      <c r="CF13" s="107"/>
      <c r="CH13" s="20" t="s">
        <v>6</v>
      </c>
      <c r="CI13" s="20" t="s">
        <v>7</v>
      </c>
      <c r="CJ13" s="20" t="s">
        <v>8</v>
      </c>
      <c r="CK13" s="21" t="s">
        <v>9</v>
      </c>
      <c r="CL13" s="106" t="s">
        <v>21</v>
      </c>
      <c r="CM13" s="107"/>
      <c r="CO13" s="20" t="s">
        <v>204</v>
      </c>
      <c r="CP13" s="20" t="s">
        <v>205</v>
      </c>
      <c r="CQ13" s="20" t="s">
        <v>206</v>
      </c>
      <c r="CR13" s="21" t="s">
        <v>207</v>
      </c>
      <c r="CS13" s="106" t="s">
        <v>208</v>
      </c>
      <c r="CT13" s="107"/>
      <c r="CV13" s="52" t="s">
        <v>6</v>
      </c>
      <c r="CW13" s="52" t="s">
        <v>7</v>
      </c>
      <c r="CX13" s="52" t="s">
        <v>8</v>
      </c>
      <c r="CY13" s="53" t="s">
        <v>9</v>
      </c>
      <c r="CZ13" s="98" t="s">
        <v>21</v>
      </c>
      <c r="DA13" s="97"/>
      <c r="DC13" s="20" t="s">
        <v>6</v>
      </c>
      <c r="DD13" s="20" t="s">
        <v>7</v>
      </c>
      <c r="DE13" s="20" t="s">
        <v>8</v>
      </c>
      <c r="DF13" s="21" t="s">
        <v>9</v>
      </c>
      <c r="DG13" s="106" t="s">
        <v>21</v>
      </c>
      <c r="DH13" s="107"/>
      <c r="DJ13" s="68" t="s">
        <v>6</v>
      </c>
      <c r="DK13" s="68" t="s">
        <v>7</v>
      </c>
      <c r="DL13" s="69" t="s">
        <v>268</v>
      </c>
      <c r="DM13" s="69" t="s">
        <v>269</v>
      </c>
      <c r="DN13" s="69" t="s">
        <v>270</v>
      </c>
      <c r="DO13" s="69" t="s">
        <v>273</v>
      </c>
      <c r="DP13" s="69" t="s">
        <v>271</v>
      </c>
      <c r="DQ13" s="69" t="s">
        <v>272</v>
      </c>
      <c r="DS13" s="92" t="s">
        <v>291</v>
      </c>
      <c r="DT13" s="92" t="s">
        <v>292</v>
      </c>
    </row>
    <row r="14" spans="1:124" ht="17" thickBot="1" x14ac:dyDescent="0.25">
      <c r="A14" s="167" t="s">
        <v>94</v>
      </c>
      <c r="B14" s="9" t="s">
        <v>104</v>
      </c>
      <c r="C14" s="10" t="s">
        <v>96</v>
      </c>
      <c r="D14" s="11">
        <v>3210000</v>
      </c>
      <c r="E14" s="12">
        <f>(D14*19)/100</f>
        <v>609900</v>
      </c>
      <c r="F14" s="99">
        <f t="shared" ref="F14:F17" si="19">D14+E14</f>
        <v>3819900</v>
      </c>
      <c r="G14" s="100"/>
      <c r="I14" s="9" t="s">
        <v>104</v>
      </c>
      <c r="J14" s="10" t="s">
        <v>96</v>
      </c>
      <c r="K14" s="11">
        <v>2662660</v>
      </c>
      <c r="L14" s="12">
        <v>0</v>
      </c>
      <c r="M14" s="99">
        <f t="shared" ref="M14:M17" si="20">K14+L14</f>
        <v>2662660</v>
      </c>
      <c r="N14" s="100"/>
      <c r="P14" s="9" t="s">
        <v>104</v>
      </c>
      <c r="Q14" s="10" t="s">
        <v>96</v>
      </c>
      <c r="R14" s="11">
        <v>2650000</v>
      </c>
      <c r="S14" s="12">
        <v>0</v>
      </c>
      <c r="T14" s="155">
        <f>+R14+S14</f>
        <v>2650000</v>
      </c>
      <c r="U14" s="156"/>
      <c r="W14" s="9" t="s">
        <v>104</v>
      </c>
      <c r="X14" s="10" t="s">
        <v>96</v>
      </c>
      <c r="Y14" s="11">
        <v>1900000</v>
      </c>
      <c r="Z14" s="12">
        <v>0</v>
      </c>
      <c r="AA14" s="114">
        <f t="shared" ref="AA14:AA17" si="21">Y14+Z14</f>
        <v>1900000</v>
      </c>
      <c r="AB14" s="115"/>
      <c r="AD14" s="9" t="s">
        <v>104</v>
      </c>
      <c r="AE14" s="10" t="s">
        <v>96</v>
      </c>
      <c r="AF14" s="11">
        <v>1730400</v>
      </c>
      <c r="AG14" s="12">
        <v>0</v>
      </c>
      <c r="AH14" s="99">
        <f t="shared" ref="AH14:AH17" si="22">AF14+AG14</f>
        <v>1730400</v>
      </c>
      <c r="AI14" s="100"/>
      <c r="AK14" s="9" t="s">
        <v>104</v>
      </c>
      <c r="AL14" s="10" t="s">
        <v>96</v>
      </c>
      <c r="AM14" s="11">
        <v>770700000</v>
      </c>
      <c r="AN14" s="12">
        <v>0</v>
      </c>
      <c r="AO14" s="114">
        <f>+AM14/700</f>
        <v>1101000</v>
      </c>
      <c r="AP14" s="115"/>
      <c r="AR14" s="9" t="s">
        <v>104</v>
      </c>
      <c r="AS14" s="10" t="s">
        <v>96</v>
      </c>
      <c r="AT14" s="11">
        <v>1683425.4854056835</v>
      </c>
      <c r="AU14" s="12">
        <v>0</v>
      </c>
      <c r="AV14" s="114">
        <f t="shared" ref="AV14:AV17" si="23">AT14+AU14</f>
        <v>1683425.4854056835</v>
      </c>
      <c r="AW14" s="115"/>
      <c r="AY14" s="54" t="s">
        <v>104</v>
      </c>
      <c r="AZ14" s="55" t="s">
        <v>96</v>
      </c>
      <c r="BA14" s="56">
        <v>4155580</v>
      </c>
      <c r="BB14" s="57">
        <v>0</v>
      </c>
      <c r="BC14" s="93">
        <f t="shared" ref="BC14:BC17" si="24">BA14+BB14</f>
        <v>4155580</v>
      </c>
      <c r="BD14" s="94"/>
      <c r="BF14" s="34" t="s">
        <v>104</v>
      </c>
      <c r="BG14" s="35" t="s">
        <v>96</v>
      </c>
      <c r="BH14" s="36">
        <v>6790000</v>
      </c>
      <c r="BI14" s="37">
        <v>0</v>
      </c>
      <c r="BJ14" s="142">
        <f t="shared" ref="BJ14:BJ17" si="25">BH14+BI14</f>
        <v>6790000</v>
      </c>
      <c r="BK14" s="143"/>
      <c r="BM14" s="54" t="s">
        <v>104</v>
      </c>
      <c r="BN14" s="55" t="s">
        <v>96</v>
      </c>
      <c r="BO14" s="56">
        <v>4306212.8483230062</v>
      </c>
      <c r="BP14" s="57">
        <v>0</v>
      </c>
      <c r="BQ14" s="93">
        <f t="shared" ref="BQ14:BQ17" si="26">BO14+BP14</f>
        <v>4306212.8483230062</v>
      </c>
      <c r="BR14" s="94"/>
      <c r="BT14" s="9" t="s">
        <v>104</v>
      </c>
      <c r="BU14" s="10" t="s">
        <v>190</v>
      </c>
      <c r="BV14" s="11">
        <v>502442000</v>
      </c>
      <c r="BW14" s="12">
        <v>0</v>
      </c>
      <c r="BX14" s="114">
        <f>+BV14/175</f>
        <v>2871097.1428571427</v>
      </c>
      <c r="BY14" s="115"/>
      <c r="CA14" s="9" t="s">
        <v>104</v>
      </c>
      <c r="CB14" s="10" t="s">
        <v>96</v>
      </c>
      <c r="CC14" s="11">
        <v>1800000</v>
      </c>
      <c r="CD14" s="12">
        <f>CC14*0.19</f>
        <v>342000</v>
      </c>
      <c r="CE14" s="99">
        <f t="shared" ref="CE14:CE17" si="27">CC14+CD14</f>
        <v>2142000</v>
      </c>
      <c r="CF14" s="100"/>
      <c r="CH14" s="9" t="s">
        <v>104</v>
      </c>
      <c r="CI14" s="10" t="s">
        <v>96</v>
      </c>
      <c r="CJ14" s="11">
        <v>3000000</v>
      </c>
      <c r="CK14" s="12">
        <v>0</v>
      </c>
      <c r="CL14" s="99">
        <f>CJ14+CK14</f>
        <v>3000000</v>
      </c>
      <c r="CM14" s="100"/>
      <c r="CO14" s="9" t="s">
        <v>219</v>
      </c>
      <c r="CP14" s="10" t="s">
        <v>210</v>
      </c>
      <c r="CQ14" s="11">
        <v>5200000</v>
      </c>
      <c r="CR14" s="12" t="s">
        <v>211</v>
      </c>
      <c r="CS14" s="99">
        <f>+CQ14</f>
        <v>5200000</v>
      </c>
      <c r="CT14" s="100"/>
      <c r="CV14" s="54" t="s">
        <v>104</v>
      </c>
      <c r="CW14" s="55" t="s">
        <v>96</v>
      </c>
      <c r="CX14" s="56">
        <v>3000000</v>
      </c>
      <c r="CY14" s="57">
        <v>0</v>
      </c>
      <c r="CZ14" s="93">
        <f t="shared" ref="CZ14:CZ17" si="28">CX14+CY14</f>
        <v>3000000</v>
      </c>
      <c r="DA14" s="94"/>
      <c r="DC14" s="9" t="s">
        <v>104</v>
      </c>
      <c r="DD14" s="10" t="s">
        <v>96</v>
      </c>
      <c r="DE14" s="11">
        <f>1165333.33333333*5/3</f>
        <v>1942222.2222222167</v>
      </c>
      <c r="DF14" s="12">
        <f>DE14*0.19</f>
        <v>369022.22222222114</v>
      </c>
      <c r="DG14" s="99">
        <f t="shared" ref="DG14:DG17" si="29">DE14+DF14</f>
        <v>2311244.444444438</v>
      </c>
      <c r="DH14" s="100"/>
      <c r="DJ14" s="70" t="s">
        <v>104</v>
      </c>
      <c r="DK14" s="71" t="s">
        <v>96</v>
      </c>
      <c r="DL14" s="72">
        <f>+MAX(F14,M14,T14,AA14,AH14,AO14,AV14,BC14,BJ14,BQ14,BX14,CE14,CL14,CS14,CZ14,DG14)</f>
        <v>6790000</v>
      </c>
      <c r="DM14" s="72">
        <f>+MIN(F14,M14,T14,AA14,AH14,AO14,AV14,BC14,BJ14,BQ14,BX14,CE14,CL14,CS14,CZ14,DG14)</f>
        <v>1101000</v>
      </c>
      <c r="DN14" s="72">
        <f>+AVERAGE(F14,M14,T14,AA14,AH14,AO14,AV14,BC14,BJ14,BQ14,BX14,CE14,CL14,CS14,CZ14,DG14)</f>
        <v>3082719.9950643922</v>
      </c>
      <c r="DO14" s="72">
        <f>+TRIMMEAN((F14,M14,T14,AA14,AH14,AO14,AV14,BC14,BJ14,BQ14,BX14,CE14,CL14,CS14,CZ14,DG14),(2/16))</f>
        <v>2959465.7086450197</v>
      </c>
      <c r="DP14" s="72">
        <f>+MEDIAN(F14,M14,T14,AA14,AH14,AO14,AV14,BC14,BJ14,BQ14,BX14,CE14,CL14,CS14,CZ14,DG14)</f>
        <v>2766878.5714285714</v>
      </c>
      <c r="DQ14" s="72">
        <f>IFERROR(MODE(F14,M14,T14,AA14,AH14,AO14,AV14,BC14,BJ14,BQ14,BX14,CE14,CL14,CS14,CZ14,DG14),"N/A")</f>
        <v>3000000</v>
      </c>
      <c r="DR14" s="88">
        <f>+STDEV(F14,M14,T14,AA14,AH14,AO14,AV14,BC14,BJ14,BQ14,BX14,CE14,CL14,CS14,CZ14,DG14)/DN14</f>
        <v>0.47699743731864885</v>
      </c>
      <c r="DS14" t="s">
        <v>176</v>
      </c>
      <c r="DT14" t="s">
        <v>165</v>
      </c>
    </row>
    <row r="15" spans="1:124" ht="17" thickBot="1" x14ac:dyDescent="0.25">
      <c r="A15" s="168"/>
      <c r="B15" s="9" t="s">
        <v>105</v>
      </c>
      <c r="C15" s="13" t="s">
        <v>98</v>
      </c>
      <c r="D15" s="11">
        <v>2252000</v>
      </c>
      <c r="E15" s="12">
        <f t="shared" ref="E15:E17" si="30">(D15*19)/100</f>
        <v>427880</v>
      </c>
      <c r="F15" s="99">
        <f t="shared" si="19"/>
        <v>2679880</v>
      </c>
      <c r="G15" s="100"/>
      <c r="I15" s="9" t="s">
        <v>105</v>
      </c>
      <c r="J15" s="13" t="s">
        <v>98</v>
      </c>
      <c r="K15" s="11">
        <v>2641358</v>
      </c>
      <c r="L15" s="12">
        <v>0</v>
      </c>
      <c r="M15" s="99">
        <f t="shared" si="20"/>
        <v>2641358</v>
      </c>
      <c r="N15" s="100"/>
      <c r="P15" s="9" t="s">
        <v>105</v>
      </c>
      <c r="Q15" s="13" t="s">
        <v>98</v>
      </c>
      <c r="R15" s="11">
        <v>2590000</v>
      </c>
      <c r="S15" s="12">
        <v>0</v>
      </c>
      <c r="T15" s="155">
        <f>+R15+S15</f>
        <v>2590000</v>
      </c>
      <c r="U15" s="156"/>
      <c r="W15" s="9" t="s">
        <v>105</v>
      </c>
      <c r="X15" s="13" t="s">
        <v>98</v>
      </c>
      <c r="Y15" s="11">
        <v>1085000</v>
      </c>
      <c r="Z15" s="12">
        <v>0</v>
      </c>
      <c r="AA15" s="114">
        <f t="shared" si="21"/>
        <v>1085000</v>
      </c>
      <c r="AB15" s="115"/>
      <c r="AD15" s="9" t="s">
        <v>105</v>
      </c>
      <c r="AE15" s="13" t="s">
        <v>98</v>
      </c>
      <c r="AF15" s="11">
        <v>1648600</v>
      </c>
      <c r="AG15" s="12">
        <v>0</v>
      </c>
      <c r="AH15" s="99">
        <f t="shared" si="22"/>
        <v>1648600</v>
      </c>
      <c r="AI15" s="100"/>
      <c r="AK15" s="9" t="s">
        <v>105</v>
      </c>
      <c r="AL15" s="13" t="s">
        <v>98</v>
      </c>
      <c r="AM15" s="11">
        <v>1397200000</v>
      </c>
      <c r="AN15" s="12">
        <v>0</v>
      </c>
      <c r="AO15" s="114">
        <f>+AM15/1400</f>
        <v>998000</v>
      </c>
      <c r="AP15" s="115"/>
      <c r="AR15" s="9" t="s">
        <v>105</v>
      </c>
      <c r="AS15" s="13" t="s">
        <v>98</v>
      </c>
      <c r="AT15" s="11">
        <v>1650417.1425545916</v>
      </c>
      <c r="AU15" s="12">
        <v>0</v>
      </c>
      <c r="AV15" s="114">
        <f t="shared" si="23"/>
        <v>1650417.1425545916</v>
      </c>
      <c r="AW15" s="115"/>
      <c r="AY15" s="54" t="s">
        <v>105</v>
      </c>
      <c r="AZ15" s="58" t="s">
        <v>98</v>
      </c>
      <c r="BA15" s="56">
        <v>4090442</v>
      </c>
      <c r="BB15" s="57">
        <v>0</v>
      </c>
      <c r="BC15" s="93">
        <f t="shared" si="24"/>
        <v>4090442</v>
      </c>
      <c r="BD15" s="94"/>
      <c r="BF15" s="34" t="s">
        <v>105</v>
      </c>
      <c r="BG15" s="38" t="s">
        <v>98</v>
      </c>
      <c r="BH15" s="36">
        <v>5800000</v>
      </c>
      <c r="BI15" s="37">
        <v>0</v>
      </c>
      <c r="BJ15" s="142">
        <f t="shared" si="25"/>
        <v>5800000</v>
      </c>
      <c r="BK15" s="143"/>
      <c r="BM15" s="54" t="s">
        <v>105</v>
      </c>
      <c r="BN15" s="58" t="s">
        <v>98</v>
      </c>
      <c r="BO15" s="56">
        <v>4238787.8709607758</v>
      </c>
      <c r="BP15" s="57">
        <v>0</v>
      </c>
      <c r="BQ15" s="93">
        <f t="shared" si="26"/>
        <v>4238787.8709607758</v>
      </c>
      <c r="BR15" s="94"/>
      <c r="BT15" s="9" t="s">
        <v>105</v>
      </c>
      <c r="BU15" s="13" t="s">
        <v>98</v>
      </c>
      <c r="BV15" s="11">
        <v>0</v>
      </c>
      <c r="BW15" s="12">
        <v>0</v>
      </c>
      <c r="BX15" s="151">
        <f t="shared" ref="BX15:BX17" si="31">BV15+BW15</f>
        <v>0</v>
      </c>
      <c r="BY15" s="152"/>
      <c r="CA15" s="9" t="s">
        <v>105</v>
      </c>
      <c r="CB15" s="13" t="s">
        <v>98</v>
      </c>
      <c r="CC15" s="11">
        <v>1700000</v>
      </c>
      <c r="CD15" s="12">
        <f t="shared" ref="CD15:CD17" si="32">CC15*0.19</f>
        <v>323000</v>
      </c>
      <c r="CE15" s="99">
        <f t="shared" si="27"/>
        <v>2023000</v>
      </c>
      <c r="CF15" s="100"/>
      <c r="CH15" s="9" t="s">
        <v>105</v>
      </c>
      <c r="CI15" s="13" t="s">
        <v>98</v>
      </c>
      <c r="CJ15" s="11">
        <v>2800000</v>
      </c>
      <c r="CK15" s="12">
        <v>0</v>
      </c>
      <c r="CL15" s="99">
        <f>CJ15+CK15</f>
        <v>2800000</v>
      </c>
      <c r="CM15" s="100"/>
      <c r="CO15" s="9" t="s">
        <v>220</v>
      </c>
      <c r="CP15" s="13" t="s">
        <v>213</v>
      </c>
      <c r="CQ15" s="11">
        <v>4400000</v>
      </c>
      <c r="CR15" s="12" t="s">
        <v>211</v>
      </c>
      <c r="CS15" s="99">
        <v>4400000</v>
      </c>
      <c r="CT15" s="100"/>
      <c r="CV15" s="54" t="s">
        <v>105</v>
      </c>
      <c r="CW15" s="58" t="s">
        <v>98</v>
      </c>
      <c r="CX15" s="56">
        <v>3000000</v>
      </c>
      <c r="CY15" s="57">
        <v>0</v>
      </c>
      <c r="CZ15" s="93">
        <f t="shared" si="28"/>
        <v>3000000</v>
      </c>
      <c r="DA15" s="94"/>
      <c r="DC15" s="9" t="s">
        <v>105</v>
      </c>
      <c r="DD15" s="13" t="s">
        <v>98</v>
      </c>
      <c r="DE15" s="11">
        <f>526333.333333333*5/3</f>
        <v>877222.22222222167</v>
      </c>
      <c r="DF15" s="12">
        <f>DE15*0.19</f>
        <v>166672.22222222213</v>
      </c>
      <c r="DG15" s="99">
        <f t="shared" si="29"/>
        <v>1043894.4444444438</v>
      </c>
      <c r="DH15" s="100"/>
      <c r="DJ15" s="70" t="s">
        <v>105</v>
      </c>
      <c r="DK15" s="71" t="s">
        <v>98</v>
      </c>
      <c r="DL15" s="72">
        <f>+MAX(F15,M15,T15,AA15,AH15,AO15,AV15,BC15,BJ15,BQ15,CE15,CL15,CS15,CZ15,DG15)</f>
        <v>5800000</v>
      </c>
      <c r="DM15" s="72">
        <f>+MIN(F15,M15,T15,AA15,AH15,AO15,AV15,BC15,BJ15,BQ15,CE15,CL15,CS15,CZ15,DG15)</f>
        <v>998000</v>
      </c>
      <c r="DN15" s="72">
        <f>+AVERAGE(F15,M15,T15,AA15,AH15,AO15,AV15,BC15,BJ15,BQ15,CE15,CL15,CS15,CZ15,DG15)</f>
        <v>2712625.2971973205</v>
      </c>
      <c r="DO15" s="72">
        <f>+TRIMMEAN((F15,M15,T15,AA15,AH15,AO15,AV15,BC15,BJ15,BQ15,CE15,CL15,CS15,CZ15,DG15),(2/15))</f>
        <v>2607029.1890738313</v>
      </c>
      <c r="DP15" s="72">
        <f>+MEDIAN(F15,M15,T15,AA15,AH15,AO15,AV15,BC15,BJ15,BQ15,CE15,CL15,CS15,CZ15,DG15)</f>
        <v>2641358</v>
      </c>
      <c r="DQ15" s="86" t="str">
        <f>IFERROR(MODE(F15,M15,T15,AA15,AH15,AO15,AV15,BC15,BJ15,BQ15,CE15,CL15,CS15,CZ15,DG15),"N/A")</f>
        <v>N/A</v>
      </c>
      <c r="DR15" s="88">
        <f>+STDEV(F15,M15,T15,AA15,AH15,AO15,AV15,BC15,BJ15,BQ15,CE15,CL15,CS15,CZ15,DG15)/DN15</f>
        <v>0.51973992080497244</v>
      </c>
      <c r="DS15" t="s">
        <v>176</v>
      </c>
      <c r="DT15" t="s">
        <v>165</v>
      </c>
    </row>
    <row r="16" spans="1:124" ht="17" thickBot="1" x14ac:dyDescent="0.25">
      <c r="A16" s="168"/>
      <c r="B16" s="9" t="s">
        <v>106</v>
      </c>
      <c r="C16" s="13" t="s">
        <v>100</v>
      </c>
      <c r="D16" s="11">
        <v>1916000</v>
      </c>
      <c r="E16" s="12">
        <f t="shared" si="30"/>
        <v>364040</v>
      </c>
      <c r="F16" s="99">
        <f t="shared" si="19"/>
        <v>2280040</v>
      </c>
      <c r="G16" s="100"/>
      <c r="I16" s="9" t="s">
        <v>106</v>
      </c>
      <c r="J16" s="13" t="s">
        <v>100</v>
      </c>
      <c r="K16" s="11">
        <v>2633370</v>
      </c>
      <c r="L16" s="12">
        <v>0</v>
      </c>
      <c r="M16" s="99">
        <f t="shared" si="20"/>
        <v>2633370</v>
      </c>
      <c r="N16" s="100"/>
      <c r="P16" s="9" t="s">
        <v>106</v>
      </c>
      <c r="Q16" s="13" t="s">
        <v>100</v>
      </c>
      <c r="R16" s="11">
        <v>2470000</v>
      </c>
      <c r="S16" s="12">
        <v>0</v>
      </c>
      <c r="T16" s="155">
        <f>+R16+S16</f>
        <v>2470000</v>
      </c>
      <c r="U16" s="156"/>
      <c r="W16" s="9" t="s">
        <v>106</v>
      </c>
      <c r="X16" s="13" t="s">
        <v>100</v>
      </c>
      <c r="Y16" s="11">
        <v>1714750</v>
      </c>
      <c r="Z16" s="12">
        <v>0</v>
      </c>
      <c r="AA16" s="114">
        <f t="shared" si="21"/>
        <v>1714750</v>
      </c>
      <c r="AB16" s="115"/>
      <c r="AD16" s="9" t="s">
        <v>106</v>
      </c>
      <c r="AE16" s="13" t="s">
        <v>100</v>
      </c>
      <c r="AF16" s="11">
        <v>1566900</v>
      </c>
      <c r="AG16" s="12">
        <v>0</v>
      </c>
      <c r="AH16" s="99">
        <f t="shared" si="22"/>
        <v>1566900</v>
      </c>
      <c r="AI16" s="100"/>
      <c r="AK16" s="9" t="s">
        <v>106</v>
      </c>
      <c r="AL16" s="13" t="s">
        <v>100</v>
      </c>
      <c r="AM16" s="11">
        <v>1449000000</v>
      </c>
      <c r="AN16" s="12">
        <v>0</v>
      </c>
      <c r="AO16" s="114">
        <f>+AM16/2000</f>
        <v>724500</v>
      </c>
      <c r="AP16" s="115"/>
      <c r="AR16" s="9" t="s">
        <v>106</v>
      </c>
      <c r="AS16" s="13" t="s">
        <v>100</v>
      </c>
      <c r="AT16" s="11">
        <v>1634393.675151149</v>
      </c>
      <c r="AU16" s="12">
        <v>0</v>
      </c>
      <c r="AV16" s="114">
        <f t="shared" si="23"/>
        <v>1634393.675151149</v>
      </c>
      <c r="AW16" s="115"/>
      <c r="AY16" s="54" t="s">
        <v>106</v>
      </c>
      <c r="AZ16" s="58" t="s">
        <v>100</v>
      </c>
      <c r="BA16" s="56">
        <v>4017295</v>
      </c>
      <c r="BB16" s="57">
        <v>0</v>
      </c>
      <c r="BC16" s="93">
        <f t="shared" si="24"/>
        <v>4017295</v>
      </c>
      <c r="BD16" s="94"/>
      <c r="BF16" s="34" t="s">
        <v>106</v>
      </c>
      <c r="BG16" s="38" t="s">
        <v>100</v>
      </c>
      <c r="BH16" s="36">
        <v>5800000</v>
      </c>
      <c r="BI16" s="37">
        <v>0</v>
      </c>
      <c r="BJ16" s="142">
        <f t="shared" si="25"/>
        <v>5800000</v>
      </c>
      <c r="BK16" s="143"/>
      <c r="BM16" s="54" t="s">
        <v>106</v>
      </c>
      <c r="BN16" s="58" t="s">
        <v>100</v>
      </c>
      <c r="BO16" s="56">
        <v>4162944.7131376709</v>
      </c>
      <c r="BP16" s="57">
        <v>0</v>
      </c>
      <c r="BQ16" s="93">
        <f t="shared" si="26"/>
        <v>4162944.7131376709</v>
      </c>
      <c r="BR16" s="94"/>
      <c r="BT16" s="9" t="s">
        <v>106</v>
      </c>
      <c r="BU16" s="13" t="s">
        <v>100</v>
      </c>
      <c r="BV16" s="11">
        <v>0</v>
      </c>
      <c r="BW16" s="12">
        <v>0</v>
      </c>
      <c r="BX16" s="151">
        <f t="shared" si="31"/>
        <v>0</v>
      </c>
      <c r="BY16" s="152"/>
      <c r="CA16" s="9" t="s">
        <v>106</v>
      </c>
      <c r="CB16" s="13" t="s">
        <v>100</v>
      </c>
      <c r="CC16" s="11">
        <v>1600000</v>
      </c>
      <c r="CD16" s="12">
        <f t="shared" si="32"/>
        <v>304000</v>
      </c>
      <c r="CE16" s="99">
        <f t="shared" si="27"/>
        <v>1904000</v>
      </c>
      <c r="CF16" s="100"/>
      <c r="CH16" s="9" t="s">
        <v>106</v>
      </c>
      <c r="CI16" s="13" t="s">
        <v>100</v>
      </c>
      <c r="CJ16" s="11">
        <v>2720000</v>
      </c>
      <c r="CK16" s="12">
        <v>0</v>
      </c>
      <c r="CL16" s="99">
        <f>CJ16+CK16</f>
        <v>2720000</v>
      </c>
      <c r="CM16" s="100"/>
      <c r="CO16" s="9" t="s">
        <v>221</v>
      </c>
      <c r="CP16" s="13" t="s">
        <v>215</v>
      </c>
      <c r="CQ16" s="11">
        <v>4000000</v>
      </c>
      <c r="CR16" s="12" t="s">
        <v>211</v>
      </c>
      <c r="CS16" s="99">
        <v>4000000</v>
      </c>
      <c r="CT16" s="100"/>
      <c r="CV16" s="54" t="s">
        <v>106</v>
      </c>
      <c r="CW16" s="58" t="s">
        <v>100</v>
      </c>
      <c r="CX16" s="56">
        <v>3000000</v>
      </c>
      <c r="CY16" s="57">
        <v>0</v>
      </c>
      <c r="CZ16" s="93">
        <f t="shared" si="28"/>
        <v>3000000</v>
      </c>
      <c r="DA16" s="94"/>
      <c r="DC16" s="9" t="s">
        <v>106</v>
      </c>
      <c r="DD16" s="13" t="s">
        <v>100</v>
      </c>
      <c r="DE16" s="11">
        <f>DE15</f>
        <v>877222.22222222167</v>
      </c>
      <c r="DF16" s="12">
        <f>DE16*0.19</f>
        <v>166672.22222222213</v>
      </c>
      <c r="DG16" s="99">
        <f t="shared" si="29"/>
        <v>1043894.4444444438</v>
      </c>
      <c r="DH16" s="100"/>
      <c r="DJ16" s="70" t="s">
        <v>106</v>
      </c>
      <c r="DK16" s="71" t="s">
        <v>100</v>
      </c>
      <c r="DL16" s="72">
        <f t="shared" ref="DL16:DL17" si="33">+MAX(F16,M16,T16,AA16,AH16,AO16,AV16,BC16,BJ16,BQ16,CE16,CL16,CS16,CZ16,DG16)</f>
        <v>5800000</v>
      </c>
      <c r="DM16" s="72">
        <f t="shared" ref="DM16:DM17" si="34">+MIN(F16,M16,T16,AA16,AH16,AO16,AV16,BC16,BJ16,BQ16,CE16,CL16,CS16,CZ16,DG16)</f>
        <v>724500</v>
      </c>
      <c r="DN16" s="72">
        <f t="shared" ref="DN16:DN17" si="35">+AVERAGE(F16,M16,T16,AA16,AH16,AO16,AV16,BC16,BJ16,BQ16,CE16,CL16,CS16,CZ16,DG16)</f>
        <v>2644805.8555155504</v>
      </c>
      <c r="DO16" s="72">
        <f>+TRIMMEAN((F16,M16,T16,AA16,AH16,AO16,AV16,BC16,BJ16,BQ16,CE16,CL16,CS16,CZ16,DG16),(2/15))</f>
        <v>2549814.4486717894</v>
      </c>
      <c r="DP16" s="72">
        <f t="shared" ref="DP16:DP17" si="36">+MEDIAN(F16,M16,T16,AA16,AH16,AO16,AV16,BC16,BJ16,BQ16,CE16,CL16,CS16,CZ16,DG16)</f>
        <v>2470000</v>
      </c>
      <c r="DQ16" s="86" t="str">
        <f t="shared" ref="DQ16:DQ17" si="37">IFERROR(MODE(F16,M16,T16,AA16,AH16,AO16,AV16,BC16,BJ16,BQ16,CE16,CL16,CS16,CZ16,DG16),"N/A")</f>
        <v>N/A</v>
      </c>
      <c r="DR16" s="88">
        <f>+STDEV(F16,M16,T16,AA16,AH16,AO16,AV16,BC16,BJ16,BQ16,CE16,CL16,CS16,CZ16,DG16)/DN16</f>
        <v>0.5164795991396417</v>
      </c>
      <c r="DS16" t="s">
        <v>176</v>
      </c>
      <c r="DT16" t="s">
        <v>165</v>
      </c>
    </row>
    <row r="17" spans="1:124" ht="17" customHeight="1" thickBot="1" x14ac:dyDescent="0.25">
      <c r="A17" s="169"/>
      <c r="B17" s="9" t="s">
        <v>107</v>
      </c>
      <c r="C17" s="14" t="s">
        <v>102</v>
      </c>
      <c r="D17" s="11">
        <v>1854000</v>
      </c>
      <c r="E17" s="12">
        <f t="shared" si="30"/>
        <v>352260</v>
      </c>
      <c r="F17" s="99">
        <f t="shared" si="19"/>
        <v>2206260</v>
      </c>
      <c r="G17" s="100"/>
      <c r="I17" s="9" t="s">
        <v>107</v>
      </c>
      <c r="J17" s="14" t="s">
        <v>102</v>
      </c>
      <c r="K17" s="11">
        <v>2582780</v>
      </c>
      <c r="L17" s="12">
        <v>0</v>
      </c>
      <c r="M17" s="99">
        <f t="shared" si="20"/>
        <v>2582780</v>
      </c>
      <c r="N17" s="100"/>
      <c r="P17" s="9" t="s">
        <v>107</v>
      </c>
      <c r="Q17" s="14" t="s">
        <v>102</v>
      </c>
      <c r="R17" s="11">
        <v>2400000</v>
      </c>
      <c r="S17" s="12">
        <v>0</v>
      </c>
      <c r="T17" s="155">
        <f>+R17+S17</f>
        <v>2400000</v>
      </c>
      <c r="U17" s="156"/>
      <c r="W17" s="9" t="s">
        <v>107</v>
      </c>
      <c r="X17" s="14" t="s">
        <v>102</v>
      </c>
      <c r="Y17" s="11">
        <v>1627012</v>
      </c>
      <c r="Z17" s="12">
        <v>0</v>
      </c>
      <c r="AA17" s="114">
        <f t="shared" si="21"/>
        <v>1627012</v>
      </c>
      <c r="AB17" s="115"/>
      <c r="AD17" s="9" t="s">
        <v>107</v>
      </c>
      <c r="AE17" s="14" t="s">
        <v>102</v>
      </c>
      <c r="AF17" s="11">
        <v>1534200</v>
      </c>
      <c r="AG17" s="12">
        <v>0</v>
      </c>
      <c r="AH17" s="99">
        <f t="shared" si="22"/>
        <v>1534200</v>
      </c>
      <c r="AI17" s="100"/>
      <c r="AK17" s="9" t="s">
        <v>107</v>
      </c>
      <c r="AL17" s="14" t="s">
        <v>102</v>
      </c>
      <c r="AM17" s="11">
        <v>1449000000</v>
      </c>
      <c r="AN17" s="12">
        <v>0</v>
      </c>
      <c r="AO17" s="114">
        <f>+AM17/2001</f>
        <v>724137.93103448278</v>
      </c>
      <c r="AP17" s="115"/>
      <c r="AR17" s="9" t="s">
        <v>107</v>
      </c>
      <c r="AS17" s="14" t="s">
        <v>102</v>
      </c>
      <c r="AT17" s="11">
        <v>1618678.3513516188</v>
      </c>
      <c r="AU17" s="12">
        <v>0</v>
      </c>
      <c r="AV17" s="114">
        <f t="shared" si="23"/>
        <v>1618678.3513516188</v>
      </c>
      <c r="AW17" s="115"/>
      <c r="AY17" s="54" t="s">
        <v>107</v>
      </c>
      <c r="AZ17" s="59" t="s">
        <v>102</v>
      </c>
      <c r="BA17" s="56">
        <v>3927550</v>
      </c>
      <c r="BB17" s="57">
        <v>0</v>
      </c>
      <c r="BC17" s="93">
        <f t="shared" si="24"/>
        <v>3927550</v>
      </c>
      <c r="BD17" s="94"/>
      <c r="BF17" s="34" t="s">
        <v>107</v>
      </c>
      <c r="BG17" s="39" t="s">
        <v>102</v>
      </c>
      <c r="BH17" s="36">
        <v>5700000</v>
      </c>
      <c r="BI17" s="37">
        <v>0</v>
      </c>
      <c r="BJ17" s="142">
        <f t="shared" si="25"/>
        <v>5700000</v>
      </c>
      <c r="BK17" s="143"/>
      <c r="BM17" s="54" t="s">
        <v>107</v>
      </c>
      <c r="BN17" s="59" t="s">
        <v>102</v>
      </c>
      <c r="BO17" s="56">
        <v>4069996.03982152</v>
      </c>
      <c r="BP17" s="57">
        <v>0</v>
      </c>
      <c r="BQ17" s="93">
        <f t="shared" si="26"/>
        <v>4069996.03982152</v>
      </c>
      <c r="BR17" s="94"/>
      <c r="BT17" s="9" t="s">
        <v>107</v>
      </c>
      <c r="BU17" s="14" t="s">
        <v>102</v>
      </c>
      <c r="BV17" s="11">
        <v>0</v>
      </c>
      <c r="BW17" s="12">
        <v>0</v>
      </c>
      <c r="BX17" s="151">
        <f t="shared" si="31"/>
        <v>0</v>
      </c>
      <c r="BY17" s="152"/>
      <c r="CA17" s="9" t="s">
        <v>107</v>
      </c>
      <c r="CB17" s="14" t="s">
        <v>102</v>
      </c>
      <c r="CC17" s="11">
        <v>1500000</v>
      </c>
      <c r="CD17" s="12">
        <f t="shared" si="32"/>
        <v>285000</v>
      </c>
      <c r="CE17" s="99">
        <f t="shared" si="27"/>
        <v>1785000</v>
      </c>
      <c r="CF17" s="100"/>
      <c r="CH17" s="9" t="s">
        <v>107</v>
      </c>
      <c r="CI17" s="14" t="s">
        <v>102</v>
      </c>
      <c r="CJ17" s="11">
        <v>2700000</v>
      </c>
      <c r="CK17" s="12">
        <v>0</v>
      </c>
      <c r="CL17" s="99">
        <f>CJ17+CK17</f>
        <v>2700000</v>
      </c>
      <c r="CM17" s="100"/>
      <c r="CO17" s="9" t="s">
        <v>222</v>
      </c>
      <c r="CP17" s="14" t="s">
        <v>217</v>
      </c>
      <c r="CQ17" s="11">
        <v>3800000</v>
      </c>
      <c r="CR17" s="12" t="s">
        <v>211</v>
      </c>
      <c r="CS17" s="99">
        <v>3800000</v>
      </c>
      <c r="CT17" s="100"/>
      <c r="CV17" s="54" t="s">
        <v>107</v>
      </c>
      <c r="CW17" s="59" t="s">
        <v>102</v>
      </c>
      <c r="CX17" s="56">
        <v>3000000</v>
      </c>
      <c r="CY17" s="57">
        <v>0</v>
      </c>
      <c r="CZ17" s="93">
        <f t="shared" si="28"/>
        <v>3000000</v>
      </c>
      <c r="DA17" s="94"/>
      <c r="DC17" s="9" t="s">
        <v>107</v>
      </c>
      <c r="DD17" s="14" t="s">
        <v>102</v>
      </c>
      <c r="DE17" s="11">
        <f>DE16</f>
        <v>877222.22222222167</v>
      </c>
      <c r="DF17" s="12">
        <f>DE17*0.19</f>
        <v>166672.22222222213</v>
      </c>
      <c r="DG17" s="99">
        <f t="shared" si="29"/>
        <v>1043894.4444444438</v>
      </c>
      <c r="DH17" s="100"/>
      <c r="DJ17" s="70" t="s">
        <v>107</v>
      </c>
      <c r="DK17" s="71" t="s">
        <v>102</v>
      </c>
      <c r="DL17" s="72">
        <f t="shared" si="33"/>
        <v>5700000</v>
      </c>
      <c r="DM17" s="72">
        <f t="shared" si="34"/>
        <v>724137.93103448278</v>
      </c>
      <c r="DN17" s="72">
        <f t="shared" si="35"/>
        <v>2581300.5844434709</v>
      </c>
      <c r="DO17" s="72">
        <f>+TRIMMEAN((F17,M17,T17,AA17,AH17,AO17,AV17,BC17,BJ17,BQ17,CE17,CL17,CS17,CZ17,DG17),(2/15))</f>
        <v>2484259.2950475062</v>
      </c>
      <c r="DP17" s="72">
        <f t="shared" si="36"/>
        <v>2400000</v>
      </c>
      <c r="DQ17" s="86" t="str">
        <f t="shared" si="37"/>
        <v>N/A</v>
      </c>
      <c r="DR17" s="88">
        <f>+STDEV(F17,M17,T17,AA17,AH17,AO17,AV17,BC17,BJ17,BQ17,CE17,CL17,CS17,CZ17,DG17)/DN17</f>
        <v>0.51751667877951757</v>
      </c>
      <c r="DS17" t="s">
        <v>176</v>
      </c>
      <c r="DT17" t="s">
        <v>165</v>
      </c>
    </row>
    <row r="18" spans="1:124" ht="46" thickBot="1" x14ac:dyDescent="0.25">
      <c r="A18" s="1" t="s">
        <v>91</v>
      </c>
      <c r="B18" s="103" t="s">
        <v>92</v>
      </c>
      <c r="C18" s="104"/>
      <c r="D18" s="104"/>
      <c r="E18" s="105"/>
      <c r="F18" s="18" t="s">
        <v>3</v>
      </c>
      <c r="G18" s="19" t="s">
        <v>20</v>
      </c>
      <c r="I18" s="103" t="s">
        <v>92</v>
      </c>
      <c r="J18" s="104"/>
      <c r="K18" s="104"/>
      <c r="L18" s="105"/>
      <c r="M18" s="18" t="s">
        <v>3</v>
      </c>
      <c r="N18" s="19" t="s">
        <v>20</v>
      </c>
      <c r="P18" s="15" t="s">
        <v>92</v>
      </c>
      <c r="Q18" s="16"/>
      <c r="R18" s="16"/>
      <c r="S18" s="17"/>
      <c r="T18" s="18" t="s">
        <v>3</v>
      </c>
      <c r="U18" s="19" t="s">
        <v>20</v>
      </c>
      <c r="W18" s="103" t="s">
        <v>92</v>
      </c>
      <c r="X18" s="104"/>
      <c r="Y18" s="104"/>
      <c r="Z18" s="105"/>
      <c r="AA18" s="18" t="s">
        <v>3</v>
      </c>
      <c r="AB18" s="19" t="s">
        <v>20</v>
      </c>
      <c r="AD18" s="103" t="s">
        <v>92</v>
      </c>
      <c r="AE18" s="104"/>
      <c r="AF18" s="104"/>
      <c r="AG18" s="105"/>
      <c r="AH18" s="18" t="s">
        <v>3</v>
      </c>
      <c r="AI18" s="19" t="s">
        <v>20</v>
      </c>
      <c r="AK18" s="103" t="s">
        <v>92</v>
      </c>
      <c r="AL18" s="104"/>
      <c r="AM18" s="104"/>
      <c r="AN18" s="105"/>
      <c r="AO18" s="18" t="s">
        <v>3</v>
      </c>
      <c r="AP18" s="19" t="s">
        <v>20</v>
      </c>
      <c r="AR18" s="103" t="s">
        <v>92</v>
      </c>
      <c r="AS18" s="104"/>
      <c r="AT18" s="104"/>
      <c r="AU18" s="105"/>
      <c r="AV18" s="18" t="s">
        <v>3</v>
      </c>
      <c r="AW18" s="19" t="s">
        <v>20</v>
      </c>
      <c r="AY18" s="95" t="s">
        <v>92</v>
      </c>
      <c r="AZ18" s="96"/>
      <c r="BA18" s="96"/>
      <c r="BB18" s="97"/>
      <c r="BC18" s="60" t="s">
        <v>3</v>
      </c>
      <c r="BD18" s="61" t="s">
        <v>20</v>
      </c>
      <c r="BF18" s="144" t="s">
        <v>92</v>
      </c>
      <c r="BG18" s="145"/>
      <c r="BH18" s="145"/>
      <c r="BI18" s="146"/>
      <c r="BJ18" s="40" t="s">
        <v>3</v>
      </c>
      <c r="BK18" s="41" t="s">
        <v>20</v>
      </c>
      <c r="BM18" s="95" t="s">
        <v>92</v>
      </c>
      <c r="BN18" s="96"/>
      <c r="BO18" s="96"/>
      <c r="BP18" s="97"/>
      <c r="BQ18" s="60" t="s">
        <v>3</v>
      </c>
      <c r="BR18" s="61" t="s">
        <v>20</v>
      </c>
      <c r="BT18" s="103" t="s">
        <v>92</v>
      </c>
      <c r="BU18" s="104"/>
      <c r="BV18" s="104"/>
      <c r="BW18" s="105"/>
      <c r="BX18" s="18" t="s">
        <v>3</v>
      </c>
      <c r="BY18" s="19" t="s">
        <v>20</v>
      </c>
      <c r="CA18" s="103" t="s">
        <v>92</v>
      </c>
      <c r="CB18" s="104"/>
      <c r="CC18" s="104"/>
      <c r="CD18" s="105"/>
      <c r="CE18" s="18" t="s">
        <v>3</v>
      </c>
      <c r="CF18" s="19" t="s">
        <v>20</v>
      </c>
      <c r="CH18" s="103" t="s">
        <v>92</v>
      </c>
      <c r="CI18" s="104"/>
      <c r="CJ18" s="104"/>
      <c r="CK18" s="105"/>
      <c r="CL18" s="18" t="s">
        <v>3</v>
      </c>
      <c r="CM18" s="19" t="s">
        <v>20</v>
      </c>
      <c r="CO18" s="103" t="s">
        <v>201</v>
      </c>
      <c r="CP18" s="104"/>
      <c r="CQ18" s="104"/>
      <c r="CR18" s="105"/>
      <c r="CS18" s="18" t="s">
        <v>202</v>
      </c>
      <c r="CT18" s="19" t="s">
        <v>223</v>
      </c>
      <c r="CV18" s="95" t="s">
        <v>92</v>
      </c>
      <c r="CW18" s="96"/>
      <c r="CX18" s="96"/>
      <c r="CY18" s="97"/>
      <c r="CZ18" s="60" t="s">
        <v>3</v>
      </c>
      <c r="DA18" s="61" t="s">
        <v>20</v>
      </c>
      <c r="DC18" s="103" t="s">
        <v>92</v>
      </c>
      <c r="DD18" s="104"/>
      <c r="DE18" s="104"/>
      <c r="DF18" s="105"/>
      <c r="DG18" s="18" t="s">
        <v>3</v>
      </c>
      <c r="DH18" s="19" t="s">
        <v>20</v>
      </c>
    </row>
    <row r="19" spans="1:124" ht="46" thickBot="1" x14ac:dyDescent="0.25">
      <c r="A19" s="3" t="s">
        <v>5</v>
      </c>
      <c r="B19" s="20" t="s">
        <v>6</v>
      </c>
      <c r="C19" s="20" t="s">
        <v>7</v>
      </c>
      <c r="D19" s="20" t="s">
        <v>8</v>
      </c>
      <c r="E19" s="21" t="s">
        <v>9</v>
      </c>
      <c r="F19" s="106" t="s">
        <v>21</v>
      </c>
      <c r="G19" s="107"/>
      <c r="I19" s="20" t="s">
        <v>6</v>
      </c>
      <c r="J19" s="20" t="s">
        <v>7</v>
      </c>
      <c r="K19" s="20" t="s">
        <v>8</v>
      </c>
      <c r="L19" s="21" t="s">
        <v>9</v>
      </c>
      <c r="M19" s="106" t="s">
        <v>21</v>
      </c>
      <c r="N19" s="107"/>
      <c r="P19" s="20" t="s">
        <v>6</v>
      </c>
      <c r="Q19" s="20" t="s">
        <v>7</v>
      </c>
      <c r="R19" s="20" t="s">
        <v>8</v>
      </c>
      <c r="S19" s="21" t="s">
        <v>9</v>
      </c>
      <c r="T19" s="22" t="s">
        <v>21</v>
      </c>
      <c r="U19" s="23"/>
      <c r="W19" s="20" t="s">
        <v>6</v>
      </c>
      <c r="X19" s="20" t="s">
        <v>7</v>
      </c>
      <c r="Y19" s="20" t="s">
        <v>8</v>
      </c>
      <c r="Z19" s="21" t="s">
        <v>9</v>
      </c>
      <c r="AA19" s="106" t="s">
        <v>21</v>
      </c>
      <c r="AB19" s="107"/>
      <c r="AD19" s="20" t="s">
        <v>6</v>
      </c>
      <c r="AE19" s="20" t="s">
        <v>7</v>
      </c>
      <c r="AF19" s="20" t="s">
        <v>8</v>
      </c>
      <c r="AG19" s="21" t="s">
        <v>9</v>
      </c>
      <c r="AH19" s="106" t="s">
        <v>21</v>
      </c>
      <c r="AI19" s="107"/>
      <c r="AK19" s="20" t="s">
        <v>6</v>
      </c>
      <c r="AL19" s="20" t="s">
        <v>7</v>
      </c>
      <c r="AM19" s="20" t="s">
        <v>8</v>
      </c>
      <c r="AN19" s="21" t="s">
        <v>9</v>
      </c>
      <c r="AO19" s="106" t="s">
        <v>21</v>
      </c>
      <c r="AP19" s="107"/>
      <c r="AR19" s="20" t="s">
        <v>6</v>
      </c>
      <c r="AS19" s="20" t="s">
        <v>7</v>
      </c>
      <c r="AT19" s="20" t="s">
        <v>8</v>
      </c>
      <c r="AU19" s="21" t="s">
        <v>9</v>
      </c>
      <c r="AV19" s="106" t="s">
        <v>21</v>
      </c>
      <c r="AW19" s="107"/>
      <c r="AY19" s="52" t="s">
        <v>6</v>
      </c>
      <c r="AZ19" s="52" t="s">
        <v>7</v>
      </c>
      <c r="BA19" s="52" t="s">
        <v>8</v>
      </c>
      <c r="BB19" s="53" t="s">
        <v>9</v>
      </c>
      <c r="BC19" s="98" t="s">
        <v>21</v>
      </c>
      <c r="BD19" s="97"/>
      <c r="BF19" s="42" t="s">
        <v>6</v>
      </c>
      <c r="BG19" s="42" t="s">
        <v>7</v>
      </c>
      <c r="BH19" s="42" t="s">
        <v>8</v>
      </c>
      <c r="BI19" s="43" t="s">
        <v>9</v>
      </c>
      <c r="BJ19" s="147" t="s">
        <v>21</v>
      </c>
      <c r="BK19" s="148"/>
      <c r="BM19" s="52" t="s">
        <v>6</v>
      </c>
      <c r="BN19" s="52" t="s">
        <v>7</v>
      </c>
      <c r="BO19" s="52" t="s">
        <v>8</v>
      </c>
      <c r="BP19" s="53" t="s">
        <v>9</v>
      </c>
      <c r="BQ19" s="98" t="s">
        <v>21</v>
      </c>
      <c r="BR19" s="97"/>
      <c r="BT19" s="20" t="s">
        <v>6</v>
      </c>
      <c r="BU19" s="20" t="s">
        <v>7</v>
      </c>
      <c r="BV19" s="20" t="s">
        <v>8</v>
      </c>
      <c r="BW19" s="21" t="s">
        <v>9</v>
      </c>
      <c r="BX19" s="106" t="s">
        <v>21</v>
      </c>
      <c r="BY19" s="107"/>
      <c r="CA19" s="20" t="s">
        <v>6</v>
      </c>
      <c r="CB19" s="20" t="s">
        <v>7</v>
      </c>
      <c r="CC19" s="20" t="s">
        <v>8</v>
      </c>
      <c r="CD19" s="21" t="s">
        <v>9</v>
      </c>
      <c r="CE19" s="106" t="s">
        <v>21</v>
      </c>
      <c r="CF19" s="107"/>
      <c r="CH19" s="20" t="s">
        <v>6</v>
      </c>
      <c r="CI19" s="20" t="s">
        <v>7</v>
      </c>
      <c r="CJ19" s="20" t="s">
        <v>8</v>
      </c>
      <c r="CK19" s="21" t="s">
        <v>9</v>
      </c>
      <c r="CL19" s="106" t="s">
        <v>21</v>
      </c>
      <c r="CM19" s="107"/>
      <c r="CO19" s="20" t="s">
        <v>204</v>
      </c>
      <c r="CP19" s="20" t="s">
        <v>205</v>
      </c>
      <c r="CQ19" s="20" t="s">
        <v>206</v>
      </c>
      <c r="CR19" s="21" t="s">
        <v>207</v>
      </c>
      <c r="CS19" s="106" t="s">
        <v>208</v>
      </c>
      <c r="CT19" s="107"/>
      <c r="CV19" s="52" t="s">
        <v>6</v>
      </c>
      <c r="CW19" s="52" t="s">
        <v>7</v>
      </c>
      <c r="CX19" s="52" t="s">
        <v>8</v>
      </c>
      <c r="CY19" s="53" t="s">
        <v>9</v>
      </c>
      <c r="CZ19" s="98" t="s">
        <v>21</v>
      </c>
      <c r="DA19" s="97"/>
      <c r="DC19" s="20" t="s">
        <v>6</v>
      </c>
      <c r="DD19" s="20" t="s">
        <v>7</v>
      </c>
      <c r="DE19" s="20" t="s">
        <v>8</v>
      </c>
      <c r="DF19" s="21" t="s">
        <v>9</v>
      </c>
      <c r="DG19" s="106" t="s">
        <v>21</v>
      </c>
      <c r="DH19" s="107"/>
      <c r="DJ19" s="68" t="s">
        <v>6</v>
      </c>
      <c r="DK19" s="68" t="s">
        <v>7</v>
      </c>
      <c r="DL19" s="69" t="s">
        <v>268</v>
      </c>
      <c r="DM19" s="69" t="s">
        <v>269</v>
      </c>
      <c r="DN19" s="69" t="s">
        <v>270</v>
      </c>
      <c r="DO19" s="69" t="s">
        <v>273</v>
      </c>
      <c r="DP19" s="69" t="s">
        <v>271</v>
      </c>
      <c r="DQ19" s="69" t="s">
        <v>272</v>
      </c>
      <c r="DS19" s="92" t="s">
        <v>291</v>
      </c>
      <c r="DT19" s="92" t="s">
        <v>292</v>
      </c>
    </row>
    <row r="20" spans="1:124" ht="17" thickBot="1" x14ac:dyDescent="0.25">
      <c r="A20" s="167" t="s">
        <v>94</v>
      </c>
      <c r="B20" s="9" t="s">
        <v>108</v>
      </c>
      <c r="C20" s="10" t="s">
        <v>96</v>
      </c>
      <c r="D20" s="11">
        <v>3210000</v>
      </c>
      <c r="E20" s="12">
        <f>(D20*19)/100</f>
        <v>609900</v>
      </c>
      <c r="F20" s="99">
        <f>D20+E20</f>
        <v>3819900</v>
      </c>
      <c r="G20" s="100"/>
      <c r="I20" s="9" t="s">
        <v>108</v>
      </c>
      <c r="J20" s="10" t="s">
        <v>96</v>
      </c>
      <c r="K20" s="11">
        <v>2801118</v>
      </c>
      <c r="L20" s="12">
        <v>0</v>
      </c>
      <c r="M20" s="99">
        <f>K20+L20</f>
        <v>2801118</v>
      </c>
      <c r="N20" s="100"/>
      <c r="P20" s="9" t="s">
        <v>108</v>
      </c>
      <c r="Q20" s="10" t="s">
        <v>96</v>
      </c>
      <c r="R20" s="11">
        <v>2650000</v>
      </c>
      <c r="S20" s="12">
        <v>0</v>
      </c>
      <c r="T20" s="155">
        <f>+R20+S20</f>
        <v>2650000</v>
      </c>
      <c r="U20" s="156"/>
      <c r="W20" s="9" t="s">
        <v>108</v>
      </c>
      <c r="X20" s="10" t="s">
        <v>96</v>
      </c>
      <c r="Y20" s="11">
        <v>1900000</v>
      </c>
      <c r="Z20" s="12">
        <v>0</v>
      </c>
      <c r="AA20" s="114">
        <f>Y20+Z20</f>
        <v>1900000</v>
      </c>
      <c r="AB20" s="115"/>
      <c r="AD20" s="9" t="s">
        <v>108</v>
      </c>
      <c r="AE20" s="10" t="s">
        <v>96</v>
      </c>
      <c r="AF20" s="11">
        <v>1730400</v>
      </c>
      <c r="AG20" s="12">
        <v>0</v>
      </c>
      <c r="AH20" s="99">
        <f>AF20+AG20</f>
        <v>1730400</v>
      </c>
      <c r="AI20" s="100"/>
      <c r="AK20" s="9" t="s">
        <v>108</v>
      </c>
      <c r="AL20" s="10" t="s">
        <v>96</v>
      </c>
      <c r="AM20" s="11">
        <v>770700000</v>
      </c>
      <c r="AN20" s="12">
        <v>0</v>
      </c>
      <c r="AO20" s="114">
        <f>+AM20/700</f>
        <v>1101000</v>
      </c>
      <c r="AP20" s="115"/>
      <c r="AR20" s="9" t="s">
        <v>108</v>
      </c>
      <c r="AS20" s="10" t="s">
        <v>96</v>
      </c>
      <c r="AT20" s="11">
        <v>1700259.7402597403</v>
      </c>
      <c r="AU20" s="12">
        <v>0</v>
      </c>
      <c r="AV20" s="114">
        <f>AT20+AU20</f>
        <v>1700259.7402597403</v>
      </c>
      <c r="AW20" s="115"/>
      <c r="AY20" s="54" t="s">
        <v>108</v>
      </c>
      <c r="AZ20" s="55" t="s">
        <v>96</v>
      </c>
      <c r="BA20" s="56">
        <v>4073651</v>
      </c>
      <c r="BB20" s="57">
        <v>0</v>
      </c>
      <c r="BC20" s="93">
        <f t="shared" ref="BC20:BC23" si="38">BA20+BB20</f>
        <v>4073651</v>
      </c>
      <c r="BD20" s="94"/>
      <c r="BF20" s="34" t="s">
        <v>108</v>
      </c>
      <c r="BG20" s="35" t="s">
        <v>96</v>
      </c>
      <c r="BH20" s="36">
        <v>6790000</v>
      </c>
      <c r="BI20" s="37">
        <v>0</v>
      </c>
      <c r="BJ20" s="142">
        <f>BH20+BI20</f>
        <v>6790000</v>
      </c>
      <c r="BK20" s="143"/>
      <c r="BM20" s="54" t="s">
        <v>108</v>
      </c>
      <c r="BN20" s="55" t="s">
        <v>96</v>
      </c>
      <c r="BO20" s="56">
        <v>4221355.5464988481</v>
      </c>
      <c r="BP20" s="57">
        <v>0</v>
      </c>
      <c r="BQ20" s="93">
        <f t="shared" ref="BQ20:BQ23" si="39">BO20+BP20</f>
        <v>4221355.5464988481</v>
      </c>
      <c r="BR20" s="94"/>
      <c r="BT20" s="9" t="s">
        <v>108</v>
      </c>
      <c r="BU20" s="10" t="s">
        <v>191</v>
      </c>
      <c r="BV20" s="11">
        <v>128098000</v>
      </c>
      <c r="BW20" s="12">
        <v>0</v>
      </c>
      <c r="BX20" s="114">
        <f>+BV20/70</f>
        <v>1829971.4285714286</v>
      </c>
      <c r="BY20" s="115"/>
      <c r="CA20" s="9" t="s">
        <v>108</v>
      </c>
      <c r="CB20" s="10" t="s">
        <v>96</v>
      </c>
      <c r="CC20" s="11">
        <v>1800000</v>
      </c>
      <c r="CD20" s="12">
        <f>CC20*0.19</f>
        <v>342000</v>
      </c>
      <c r="CE20" s="99">
        <f>CC20+CD20</f>
        <v>2142000</v>
      </c>
      <c r="CF20" s="100"/>
      <c r="CH20" s="9" t="s">
        <v>108</v>
      </c>
      <c r="CI20" s="10" t="s">
        <v>96</v>
      </c>
      <c r="CJ20" s="11">
        <v>3000000</v>
      </c>
      <c r="CK20" s="12">
        <v>0</v>
      </c>
      <c r="CL20" s="99">
        <f>CJ20+CK20</f>
        <v>3000000</v>
      </c>
      <c r="CM20" s="100"/>
      <c r="CO20" s="9" t="s">
        <v>224</v>
      </c>
      <c r="CP20" s="10" t="s">
        <v>210</v>
      </c>
      <c r="CQ20" s="11">
        <v>5200000</v>
      </c>
      <c r="CR20" s="12" t="s">
        <v>211</v>
      </c>
      <c r="CS20" s="99">
        <f>+CQ20</f>
        <v>5200000</v>
      </c>
      <c r="CT20" s="100"/>
      <c r="CV20" s="54" t="s">
        <v>108</v>
      </c>
      <c r="CW20" s="55" t="s">
        <v>96</v>
      </c>
      <c r="CX20" s="56">
        <v>3000000</v>
      </c>
      <c r="CY20" s="57">
        <v>0</v>
      </c>
      <c r="CZ20" s="93">
        <f t="shared" ref="CZ20:CZ23" si="40">CX20+CY20</f>
        <v>3000000</v>
      </c>
      <c r="DA20" s="94"/>
      <c r="DC20" s="9" t="s">
        <v>108</v>
      </c>
      <c r="DD20" s="10" t="s">
        <v>96</v>
      </c>
      <c r="DE20" s="11">
        <f>1165333.33333333*5/3</f>
        <v>1942222.2222222167</v>
      </c>
      <c r="DF20" s="12">
        <f>DE20*0.19</f>
        <v>369022.22222222114</v>
      </c>
      <c r="DG20" s="99">
        <f>DE20+DF20</f>
        <v>2311244.444444438</v>
      </c>
      <c r="DH20" s="100"/>
      <c r="DJ20" s="70" t="s">
        <v>108</v>
      </c>
      <c r="DK20" s="71" t="s">
        <v>96</v>
      </c>
      <c r="DL20" s="72">
        <f>+MAX(F20,M20,T20,AA20,AH20,AO20,AV20,BC20,BJ20,BQ20,BX20,CE20,CL20,CS20,CZ20,DG20)</f>
        <v>6790000</v>
      </c>
      <c r="DM20" s="72">
        <f>+MIN(F20,M20,T20,AA20,AH20,AO20,AV20,BC20,BJ20,BQ20,BX20,CE20,CL20,CS20,CZ20,DG20)</f>
        <v>1101000</v>
      </c>
      <c r="DN20" s="72">
        <f>+AVERAGE(F20,M20,T20,AA20,AH20,AO20,AV20,BC20,BJ20,BQ20,BX20,CE20,CL20,CS20,CZ20,DG20)</f>
        <v>3016931.2599859037</v>
      </c>
      <c r="DO20" s="72">
        <f>+TRIMMEAN((F20,M20,T20,AA20,AH20,AO20,AV20,BC20,BJ20,BQ20,BX20,CE20,CL20,CS20,CZ20,DG20),(2/16))</f>
        <v>2884278.5828410327</v>
      </c>
      <c r="DP20" s="72">
        <f>+MEDIAN(F20,M20,T20,AA20,AH20,AO20,AV20,BC20,BJ20,BQ20,BX20,CE20,CL20,CS20,CZ20,DG20)</f>
        <v>2725559</v>
      </c>
      <c r="DQ20" s="72">
        <f>IFERROR(MODE(F20,M20,T20,AA20,AH20,AO20,AV20,BC20,BJ20,BQ20,BX20,CE20,CL20,CS20,CZ20,DG20),"N/A")</f>
        <v>3000000</v>
      </c>
      <c r="DR20" s="88">
        <f>+STDEV(F20,M20,T20,AA20,AH20,AO20,AV20,BC20,BJ20,BQ20,BX20,CE20,CL20,CS20,CZ20,DG20)/DN20</f>
        <v>0.49442527180922125</v>
      </c>
      <c r="DS20" t="s">
        <v>176</v>
      </c>
      <c r="DT20" t="s">
        <v>165</v>
      </c>
    </row>
    <row r="21" spans="1:124" ht="17" thickBot="1" x14ac:dyDescent="0.25">
      <c r="A21" s="168"/>
      <c r="B21" s="9" t="s">
        <v>109</v>
      </c>
      <c r="C21" s="13" t="s">
        <v>98</v>
      </c>
      <c r="D21" s="11">
        <v>2252000</v>
      </c>
      <c r="E21" s="12">
        <f t="shared" ref="E21:E23" si="41">(D21*19)/100</f>
        <v>427880</v>
      </c>
      <c r="F21" s="99">
        <f t="shared" ref="F21:F23" si="42">D21+E21</f>
        <v>2679880</v>
      </c>
      <c r="G21" s="100"/>
      <c r="I21" s="9" t="s">
        <v>109</v>
      </c>
      <c r="J21" s="13" t="s">
        <v>98</v>
      </c>
      <c r="K21" s="11">
        <v>2778708</v>
      </c>
      <c r="L21" s="12">
        <v>0</v>
      </c>
      <c r="M21" s="99">
        <f t="shared" ref="M21:M23" si="43">K21+L21</f>
        <v>2778708</v>
      </c>
      <c r="N21" s="100"/>
      <c r="P21" s="9" t="s">
        <v>109</v>
      </c>
      <c r="Q21" s="13" t="s">
        <v>98</v>
      </c>
      <c r="R21" s="11">
        <v>2590000</v>
      </c>
      <c r="S21" s="12">
        <v>0</v>
      </c>
      <c r="T21" s="155">
        <f>+R21+S21</f>
        <v>2590000</v>
      </c>
      <c r="U21" s="156"/>
      <c r="W21" s="9" t="s">
        <v>109</v>
      </c>
      <c r="X21" s="13" t="s">
        <v>98</v>
      </c>
      <c r="Y21" s="11">
        <v>1085000</v>
      </c>
      <c r="Z21" s="12">
        <v>0</v>
      </c>
      <c r="AA21" s="114">
        <f t="shared" ref="AA21:AA23" si="44">Y21+Z21</f>
        <v>1085000</v>
      </c>
      <c r="AB21" s="115"/>
      <c r="AD21" s="9" t="s">
        <v>109</v>
      </c>
      <c r="AE21" s="13" t="s">
        <v>98</v>
      </c>
      <c r="AF21" s="11">
        <v>1648600</v>
      </c>
      <c r="AG21" s="12">
        <v>0</v>
      </c>
      <c r="AH21" s="99">
        <f t="shared" ref="AH21:AH23" si="45">AF21+AG21</f>
        <v>1648600</v>
      </c>
      <c r="AI21" s="100"/>
      <c r="AK21" s="9" t="s">
        <v>109</v>
      </c>
      <c r="AL21" s="13" t="s">
        <v>98</v>
      </c>
      <c r="AM21" s="11">
        <v>1397200000</v>
      </c>
      <c r="AN21" s="12">
        <v>0</v>
      </c>
      <c r="AO21" s="114">
        <f>+AM21/1400</f>
        <v>998000</v>
      </c>
      <c r="AP21" s="115"/>
      <c r="AR21" s="9" t="s">
        <v>109</v>
      </c>
      <c r="AS21" s="13" t="s">
        <v>98</v>
      </c>
      <c r="AT21" s="11">
        <v>1683425.4854056835</v>
      </c>
      <c r="AU21" s="12">
        <v>0</v>
      </c>
      <c r="AV21" s="114">
        <f t="shared" ref="AV21:AV23" si="46">AT21+AU21</f>
        <v>1683425.4854056835</v>
      </c>
      <c r="AW21" s="115"/>
      <c r="AY21" s="54" t="s">
        <v>109</v>
      </c>
      <c r="AZ21" s="58" t="s">
        <v>98</v>
      </c>
      <c r="BA21" s="56">
        <v>4013435</v>
      </c>
      <c r="BB21" s="57">
        <v>0</v>
      </c>
      <c r="BC21" s="93">
        <f t="shared" si="38"/>
        <v>4013435</v>
      </c>
      <c r="BD21" s="94"/>
      <c r="BF21" s="34" t="s">
        <v>109</v>
      </c>
      <c r="BG21" s="38" t="s">
        <v>98</v>
      </c>
      <c r="BH21" s="36">
        <v>5800000</v>
      </c>
      <c r="BI21" s="37">
        <v>0</v>
      </c>
      <c r="BJ21" s="142">
        <f t="shared" ref="BJ21:BJ23" si="47">BH21+BI21</f>
        <v>5800000</v>
      </c>
      <c r="BK21" s="143"/>
      <c r="BM21" s="54" t="s">
        <v>109</v>
      </c>
      <c r="BN21" s="58" t="s">
        <v>98</v>
      </c>
      <c r="BO21" s="56">
        <v>4158909.431819139</v>
      </c>
      <c r="BP21" s="57">
        <v>0</v>
      </c>
      <c r="BQ21" s="93">
        <f t="shared" si="39"/>
        <v>4158909.431819139</v>
      </c>
      <c r="BR21" s="94"/>
      <c r="BT21" s="9" t="s">
        <v>109</v>
      </c>
      <c r="BU21" s="13" t="s">
        <v>98</v>
      </c>
      <c r="BV21" s="11">
        <v>0</v>
      </c>
      <c r="BW21" s="12">
        <v>0</v>
      </c>
      <c r="BX21" s="151">
        <f t="shared" ref="BX21:BX23" si="48">BV21+BW21</f>
        <v>0</v>
      </c>
      <c r="BY21" s="152"/>
      <c r="CA21" s="9" t="s">
        <v>109</v>
      </c>
      <c r="CB21" s="13" t="s">
        <v>98</v>
      </c>
      <c r="CC21" s="11">
        <v>1700000</v>
      </c>
      <c r="CD21" s="12">
        <f t="shared" ref="CD21:CD23" si="49">CC21*0.19</f>
        <v>323000</v>
      </c>
      <c r="CE21" s="99">
        <f t="shared" ref="CE21:CE23" si="50">CC21+CD21</f>
        <v>2023000</v>
      </c>
      <c r="CF21" s="100"/>
      <c r="CH21" s="9" t="s">
        <v>109</v>
      </c>
      <c r="CI21" s="13" t="s">
        <v>98</v>
      </c>
      <c r="CJ21" s="11">
        <v>2800000</v>
      </c>
      <c r="CK21" s="12">
        <v>0</v>
      </c>
      <c r="CL21" s="99">
        <f>CJ21+CK21</f>
        <v>2800000</v>
      </c>
      <c r="CM21" s="100"/>
      <c r="CO21" s="9" t="s">
        <v>225</v>
      </c>
      <c r="CP21" s="13" t="s">
        <v>213</v>
      </c>
      <c r="CQ21" s="11">
        <v>4400000</v>
      </c>
      <c r="CR21" s="12" t="s">
        <v>211</v>
      </c>
      <c r="CS21" s="99">
        <v>4400000</v>
      </c>
      <c r="CT21" s="100"/>
      <c r="CV21" s="54" t="s">
        <v>109</v>
      </c>
      <c r="CW21" s="58" t="s">
        <v>98</v>
      </c>
      <c r="CX21" s="56">
        <v>3000000</v>
      </c>
      <c r="CY21" s="57">
        <v>0</v>
      </c>
      <c r="CZ21" s="93">
        <f t="shared" si="40"/>
        <v>3000000</v>
      </c>
      <c r="DA21" s="94"/>
      <c r="DC21" s="9" t="s">
        <v>109</v>
      </c>
      <c r="DD21" s="13" t="s">
        <v>98</v>
      </c>
      <c r="DE21" s="11">
        <f>526333.333333333*5/3</f>
        <v>877222.22222222167</v>
      </c>
      <c r="DF21" s="12">
        <f>DE21*0.19</f>
        <v>166672.22222222213</v>
      </c>
      <c r="DG21" s="99">
        <f t="shared" ref="DG21:DG23" si="51">DE21+DF21</f>
        <v>1043894.4444444438</v>
      </c>
      <c r="DH21" s="100"/>
      <c r="DJ21" s="70" t="s">
        <v>109</v>
      </c>
      <c r="DK21" s="71" t="s">
        <v>98</v>
      </c>
      <c r="DL21" s="72">
        <f>+MAX(F21,M21,T21,AA21,AH21,AO21,AV21,BC21,BJ21,BQ21,CE21,CL21,CS21,CZ21,DG21)</f>
        <v>5800000</v>
      </c>
      <c r="DM21" s="72">
        <f>+MIN(F21,M21,T21,AA21,AH21,AO21,AV21,BC21,BJ21,BQ21,CE21,CL21,CS21,CZ21,DG21)</f>
        <v>998000</v>
      </c>
      <c r="DN21" s="72">
        <f>+AVERAGE(F21,M21,T21,AA21,AH21,AO21,AV21,BC21,BJ21,BQ21,CE21,CL21,CS21,CZ21,DG21)</f>
        <v>2713523.4907779512</v>
      </c>
      <c r="DO21" s="72">
        <f>+TRIMMEAN((F21,M21,T21,AA21,AH21,AO21,AV21,BC21,BJ21,BQ21,CE21,CL21,CS21,CZ21,DG21),(2/15))</f>
        <v>2608065.5662822509</v>
      </c>
      <c r="DP21" s="72">
        <f>+MEDIAN(F21,M21,T21,AA21,AH21,AO21,AV21,BC21,BJ21,BQ21,CE21,CL21,CS21,CZ21,DG21)</f>
        <v>2679880</v>
      </c>
      <c r="DQ21" s="86" t="str">
        <f>IFERROR(MODE(F21,M21,T21,AA21,AH21,AO21,AV21,BC21,BJ21,BQ21,CE21,CL21,CS21,CZ21,DG21),"N/A")</f>
        <v>N/A</v>
      </c>
      <c r="DR21" s="88">
        <f>+STDEV(F21,M21,T21,AA21,AH21,AO21,AV21,BC21,BJ21,BQ21,CE21,CL21,CS21,CZ21,DG21)/DN21</f>
        <v>0.51475216475097352</v>
      </c>
      <c r="DS21" t="s">
        <v>176</v>
      </c>
      <c r="DT21" t="s">
        <v>165</v>
      </c>
    </row>
    <row r="22" spans="1:124" ht="17" thickBot="1" x14ac:dyDescent="0.25">
      <c r="A22" s="168"/>
      <c r="B22" s="9" t="s">
        <v>110</v>
      </c>
      <c r="C22" s="13" t="s">
        <v>100</v>
      </c>
      <c r="D22" s="11">
        <v>1916000</v>
      </c>
      <c r="E22" s="12">
        <f t="shared" si="41"/>
        <v>364040</v>
      </c>
      <c r="F22" s="99">
        <f t="shared" si="42"/>
        <v>2280040</v>
      </c>
      <c r="G22" s="100"/>
      <c r="I22" s="9" t="s">
        <v>110</v>
      </c>
      <c r="J22" s="13" t="s">
        <v>100</v>
      </c>
      <c r="K22" s="11">
        <v>2770305</v>
      </c>
      <c r="L22" s="12">
        <v>0</v>
      </c>
      <c r="M22" s="99">
        <f t="shared" si="43"/>
        <v>2770305</v>
      </c>
      <c r="N22" s="100"/>
      <c r="P22" s="9" t="s">
        <v>110</v>
      </c>
      <c r="Q22" s="13" t="s">
        <v>100</v>
      </c>
      <c r="R22" s="11">
        <v>2470000</v>
      </c>
      <c r="S22" s="12">
        <v>0</v>
      </c>
      <c r="T22" s="155">
        <f>+R22+S22</f>
        <v>2470000</v>
      </c>
      <c r="U22" s="156"/>
      <c r="W22" s="9" t="s">
        <v>110</v>
      </c>
      <c r="X22" s="13" t="s">
        <v>100</v>
      </c>
      <c r="Y22" s="11">
        <v>1714750</v>
      </c>
      <c r="Z22" s="12">
        <v>0</v>
      </c>
      <c r="AA22" s="114">
        <f t="shared" si="44"/>
        <v>1714750</v>
      </c>
      <c r="AB22" s="115"/>
      <c r="AD22" s="9" t="s">
        <v>110</v>
      </c>
      <c r="AE22" s="13" t="s">
        <v>100</v>
      </c>
      <c r="AF22" s="11">
        <v>1566900</v>
      </c>
      <c r="AG22" s="12">
        <v>0</v>
      </c>
      <c r="AH22" s="99">
        <f t="shared" si="45"/>
        <v>1566900</v>
      </c>
      <c r="AI22" s="100"/>
      <c r="AK22" s="9" t="s">
        <v>110</v>
      </c>
      <c r="AL22" s="13" t="s">
        <v>100</v>
      </c>
      <c r="AM22" s="11">
        <v>1449000000</v>
      </c>
      <c r="AN22" s="12">
        <v>0</v>
      </c>
      <c r="AO22" s="114">
        <f>+AM22/2000</f>
        <v>724500</v>
      </c>
      <c r="AP22" s="115"/>
      <c r="AR22" s="9" t="s">
        <v>110</v>
      </c>
      <c r="AS22" s="13" t="s">
        <v>100</v>
      </c>
      <c r="AT22" s="11">
        <v>1666921.3139801375</v>
      </c>
      <c r="AU22" s="12">
        <v>0</v>
      </c>
      <c r="AV22" s="114">
        <f t="shared" si="46"/>
        <v>1666921.3139801375</v>
      </c>
      <c r="AW22" s="115"/>
      <c r="AY22" s="54" t="s">
        <v>110</v>
      </c>
      <c r="AZ22" s="58" t="s">
        <v>100</v>
      </c>
      <c r="BA22" s="56">
        <v>3946947</v>
      </c>
      <c r="BB22" s="57">
        <v>0</v>
      </c>
      <c r="BC22" s="93">
        <f t="shared" si="38"/>
        <v>3946947</v>
      </c>
      <c r="BD22" s="94"/>
      <c r="BF22" s="34" t="s">
        <v>110</v>
      </c>
      <c r="BG22" s="38" t="s">
        <v>100</v>
      </c>
      <c r="BH22" s="36">
        <v>5800000</v>
      </c>
      <c r="BI22" s="37">
        <v>0</v>
      </c>
      <c r="BJ22" s="142">
        <f t="shared" si="47"/>
        <v>5800000</v>
      </c>
      <c r="BK22" s="143"/>
      <c r="BM22" s="54" t="s">
        <v>110</v>
      </c>
      <c r="BN22" s="58" t="s">
        <v>100</v>
      </c>
      <c r="BO22" s="56">
        <v>4090082.3278585137</v>
      </c>
      <c r="BP22" s="57">
        <v>0</v>
      </c>
      <c r="BQ22" s="93">
        <f t="shared" si="39"/>
        <v>4090082.3278585137</v>
      </c>
      <c r="BR22" s="94"/>
      <c r="BT22" s="9" t="s">
        <v>110</v>
      </c>
      <c r="BU22" s="13" t="s">
        <v>100</v>
      </c>
      <c r="BV22" s="11">
        <v>0</v>
      </c>
      <c r="BW22" s="12">
        <v>0</v>
      </c>
      <c r="BX22" s="151">
        <f t="shared" si="48"/>
        <v>0</v>
      </c>
      <c r="BY22" s="152"/>
      <c r="CA22" s="9" t="s">
        <v>110</v>
      </c>
      <c r="CB22" s="13" t="s">
        <v>100</v>
      </c>
      <c r="CC22" s="11">
        <v>1600000</v>
      </c>
      <c r="CD22" s="12">
        <f t="shared" si="49"/>
        <v>304000</v>
      </c>
      <c r="CE22" s="99">
        <f t="shared" si="50"/>
        <v>1904000</v>
      </c>
      <c r="CF22" s="100"/>
      <c r="CH22" s="9" t="s">
        <v>110</v>
      </c>
      <c r="CI22" s="13" t="s">
        <v>100</v>
      </c>
      <c r="CJ22" s="11">
        <v>2720000</v>
      </c>
      <c r="CK22" s="12">
        <v>0</v>
      </c>
      <c r="CL22" s="99">
        <f>CJ22+CK22</f>
        <v>2720000</v>
      </c>
      <c r="CM22" s="100"/>
      <c r="CO22" s="9" t="s">
        <v>226</v>
      </c>
      <c r="CP22" s="13" t="s">
        <v>215</v>
      </c>
      <c r="CQ22" s="11">
        <v>4000000</v>
      </c>
      <c r="CR22" s="12" t="s">
        <v>211</v>
      </c>
      <c r="CS22" s="99">
        <v>4000000</v>
      </c>
      <c r="CT22" s="100"/>
      <c r="CV22" s="54" t="s">
        <v>110</v>
      </c>
      <c r="CW22" s="58" t="s">
        <v>100</v>
      </c>
      <c r="CX22" s="56">
        <v>3000000</v>
      </c>
      <c r="CY22" s="57">
        <v>0</v>
      </c>
      <c r="CZ22" s="93">
        <f t="shared" si="40"/>
        <v>3000000</v>
      </c>
      <c r="DA22" s="94"/>
      <c r="DC22" s="9" t="s">
        <v>110</v>
      </c>
      <c r="DD22" s="13" t="s">
        <v>100</v>
      </c>
      <c r="DE22" s="11">
        <f>DE21</f>
        <v>877222.22222222167</v>
      </c>
      <c r="DF22" s="12">
        <f>DE22*0.19</f>
        <v>166672.22222222213</v>
      </c>
      <c r="DG22" s="99">
        <f t="shared" si="51"/>
        <v>1043894.4444444438</v>
      </c>
      <c r="DH22" s="100"/>
      <c r="DJ22" s="70" t="s">
        <v>110</v>
      </c>
      <c r="DK22" s="71" t="s">
        <v>100</v>
      </c>
      <c r="DL22" s="72">
        <f t="shared" ref="DL22:DL23" si="52">+MAX(F22,M22,T22,AA22,AH22,AO22,AV22,BC22,BJ22,BQ22,CE22,CL22,CS22,CZ22,DG22)</f>
        <v>5800000</v>
      </c>
      <c r="DM22" s="72">
        <f t="shared" ref="DM22:DM23" si="53">+MIN(F22,M22,T22,AA22,AH22,AO22,AV22,BC22,BJ22,BQ22,CE22,CL22,CS22,CZ22,DG22)</f>
        <v>724500</v>
      </c>
      <c r="DN22" s="72">
        <f t="shared" ref="DN22:DN23" si="54">+AVERAGE(F22,M22,T22,AA22,AH22,AO22,AV22,BC22,BJ22,BQ22,CE22,CL22,CS22,CZ22,DG22)</f>
        <v>2646556.0057522063</v>
      </c>
      <c r="DO22" s="72">
        <f>+TRIMMEAN((F22,M22,T22,AA22,AH22,AO22,AV22,BC22,BJ22,BQ22,CE22,CL22,CS22,CZ22,DG22),(2/15))</f>
        <v>2551833.8527910071</v>
      </c>
      <c r="DP22" s="72">
        <f t="shared" ref="DP22:DP23" si="55">+MEDIAN(F22,M22,T22,AA22,AH22,AO22,AV22,BC22,BJ22,BQ22,CE22,CL22,CS22,CZ22,DG22)</f>
        <v>2470000</v>
      </c>
      <c r="DQ22" s="86" t="str">
        <f t="shared" ref="DQ22:DQ23" si="56">IFERROR(MODE(F22,M22,T22,AA22,AH22,AO22,AV22,BC22,BJ22,BQ22,CE22,CL22,CS22,CZ22,DG22),"N/A")</f>
        <v>N/A</v>
      </c>
      <c r="DR22" s="88">
        <f>+STDEV(F22,M22,T22,AA22,AH22,AO22,AV22,BC22,BJ22,BQ22,CE22,CL22,CS22,CZ22,DG22)/DN22</f>
        <v>0.51164151595788043</v>
      </c>
      <c r="DS22" t="s">
        <v>176</v>
      </c>
      <c r="DT22" t="s">
        <v>165</v>
      </c>
    </row>
    <row r="23" spans="1:124" ht="17" customHeight="1" thickBot="1" x14ac:dyDescent="0.25">
      <c r="A23" s="169"/>
      <c r="B23" s="9" t="s">
        <v>111</v>
      </c>
      <c r="C23" s="14" t="s">
        <v>102</v>
      </c>
      <c r="D23" s="11">
        <v>1854000</v>
      </c>
      <c r="E23" s="12">
        <f t="shared" si="41"/>
        <v>352260</v>
      </c>
      <c r="F23" s="99">
        <f t="shared" si="42"/>
        <v>2206260</v>
      </c>
      <c r="G23" s="100"/>
      <c r="I23" s="9" t="s">
        <v>111</v>
      </c>
      <c r="J23" s="14" t="s">
        <v>102</v>
      </c>
      <c r="K23" s="11">
        <v>2717084</v>
      </c>
      <c r="L23" s="12">
        <v>0</v>
      </c>
      <c r="M23" s="99">
        <f t="shared" si="43"/>
        <v>2717084</v>
      </c>
      <c r="N23" s="100"/>
      <c r="P23" s="9" t="s">
        <v>111</v>
      </c>
      <c r="Q23" s="14" t="s">
        <v>102</v>
      </c>
      <c r="R23" s="11">
        <v>2400000</v>
      </c>
      <c r="S23" s="12">
        <v>0</v>
      </c>
      <c r="T23" s="155">
        <f>+R23+S23</f>
        <v>2400000</v>
      </c>
      <c r="U23" s="156"/>
      <c r="W23" s="9" t="s">
        <v>111</v>
      </c>
      <c r="X23" s="14" t="s">
        <v>102</v>
      </c>
      <c r="Y23" s="11">
        <v>1627012</v>
      </c>
      <c r="Z23" s="12">
        <v>0</v>
      </c>
      <c r="AA23" s="114">
        <f t="shared" si="44"/>
        <v>1627012</v>
      </c>
      <c r="AB23" s="115"/>
      <c r="AD23" s="9" t="s">
        <v>111</v>
      </c>
      <c r="AE23" s="14" t="s">
        <v>102</v>
      </c>
      <c r="AF23" s="11">
        <v>1534200</v>
      </c>
      <c r="AG23" s="12">
        <v>0</v>
      </c>
      <c r="AH23" s="99">
        <f t="shared" si="45"/>
        <v>1534200</v>
      </c>
      <c r="AI23" s="100"/>
      <c r="AK23" s="9" t="s">
        <v>111</v>
      </c>
      <c r="AL23" s="14" t="s">
        <v>102</v>
      </c>
      <c r="AM23" s="11">
        <v>1449000000</v>
      </c>
      <c r="AN23" s="12">
        <v>0</v>
      </c>
      <c r="AO23" s="114">
        <f>+AM23/2001</f>
        <v>724137.93103448278</v>
      </c>
      <c r="AP23" s="115"/>
      <c r="AR23" s="9" t="s">
        <v>111</v>
      </c>
      <c r="AS23" s="14" t="s">
        <v>102</v>
      </c>
      <c r="AT23" s="11">
        <v>1650737.6119026605</v>
      </c>
      <c r="AU23" s="12">
        <v>0</v>
      </c>
      <c r="AV23" s="114">
        <f t="shared" si="46"/>
        <v>1650737.6119026605</v>
      </c>
      <c r="AW23" s="115"/>
      <c r="AY23" s="54" t="s">
        <v>111</v>
      </c>
      <c r="AZ23" s="59" t="s">
        <v>102</v>
      </c>
      <c r="BA23" s="56">
        <v>3865597</v>
      </c>
      <c r="BB23" s="57">
        <v>0</v>
      </c>
      <c r="BC23" s="93">
        <f t="shared" si="38"/>
        <v>3865597</v>
      </c>
      <c r="BD23" s="94"/>
      <c r="BF23" s="34" t="s">
        <v>111</v>
      </c>
      <c r="BG23" s="39" t="s">
        <v>102</v>
      </c>
      <c r="BH23" s="36">
        <v>5700000</v>
      </c>
      <c r="BI23" s="37">
        <v>0</v>
      </c>
      <c r="BJ23" s="142">
        <f t="shared" si="47"/>
        <v>5700000</v>
      </c>
      <c r="BK23" s="143"/>
      <c r="BM23" s="54" t="s">
        <v>111</v>
      </c>
      <c r="BN23" s="59" t="s">
        <v>102</v>
      </c>
      <c r="BO23" s="56">
        <v>4005731.8942209324</v>
      </c>
      <c r="BP23" s="57">
        <v>0</v>
      </c>
      <c r="BQ23" s="93">
        <f t="shared" si="39"/>
        <v>4005731.8942209324</v>
      </c>
      <c r="BR23" s="94"/>
      <c r="BT23" s="9" t="s">
        <v>111</v>
      </c>
      <c r="BU23" s="14" t="s">
        <v>102</v>
      </c>
      <c r="BV23" s="11">
        <v>0</v>
      </c>
      <c r="BW23" s="12">
        <v>0</v>
      </c>
      <c r="BX23" s="151">
        <f t="shared" si="48"/>
        <v>0</v>
      </c>
      <c r="BY23" s="152"/>
      <c r="CA23" s="9" t="s">
        <v>111</v>
      </c>
      <c r="CB23" s="14" t="s">
        <v>102</v>
      </c>
      <c r="CC23" s="11">
        <v>1500000</v>
      </c>
      <c r="CD23" s="12">
        <f t="shared" si="49"/>
        <v>285000</v>
      </c>
      <c r="CE23" s="99">
        <f t="shared" si="50"/>
        <v>1785000</v>
      </c>
      <c r="CF23" s="100"/>
      <c r="CH23" s="9" t="s">
        <v>111</v>
      </c>
      <c r="CI23" s="14" t="s">
        <v>102</v>
      </c>
      <c r="CJ23" s="11">
        <v>2700000</v>
      </c>
      <c r="CK23" s="12">
        <v>0</v>
      </c>
      <c r="CL23" s="99">
        <f>CJ23+CK23</f>
        <v>2700000</v>
      </c>
      <c r="CM23" s="100"/>
      <c r="CO23" s="9" t="s">
        <v>227</v>
      </c>
      <c r="CP23" s="14" t="s">
        <v>217</v>
      </c>
      <c r="CQ23" s="11">
        <v>3800000</v>
      </c>
      <c r="CR23" s="12" t="s">
        <v>211</v>
      </c>
      <c r="CS23" s="99">
        <v>3800000</v>
      </c>
      <c r="CT23" s="100"/>
      <c r="CV23" s="54" t="s">
        <v>111</v>
      </c>
      <c r="CW23" s="59" t="s">
        <v>102</v>
      </c>
      <c r="CX23" s="56">
        <v>3000000</v>
      </c>
      <c r="CY23" s="57">
        <v>0</v>
      </c>
      <c r="CZ23" s="93">
        <f t="shared" si="40"/>
        <v>3000000</v>
      </c>
      <c r="DA23" s="94"/>
      <c r="DC23" s="9" t="s">
        <v>111</v>
      </c>
      <c r="DD23" s="14" t="s">
        <v>102</v>
      </c>
      <c r="DE23" s="11">
        <f>DE22</f>
        <v>877222.22222222167</v>
      </c>
      <c r="DF23" s="12">
        <f>DE23*0.19</f>
        <v>166672.22222222213</v>
      </c>
      <c r="DG23" s="99">
        <f t="shared" si="51"/>
        <v>1043894.4444444438</v>
      </c>
      <c r="DH23" s="100"/>
      <c r="DJ23" s="70" t="s">
        <v>111</v>
      </c>
      <c r="DK23" s="71" t="s">
        <v>102</v>
      </c>
      <c r="DL23" s="72">
        <f t="shared" si="52"/>
        <v>5700000</v>
      </c>
      <c r="DM23" s="72">
        <f t="shared" si="53"/>
        <v>724137.93103448278</v>
      </c>
      <c r="DN23" s="72">
        <f t="shared" si="54"/>
        <v>2583976.9921068344</v>
      </c>
      <c r="DO23" s="72">
        <f>+TRIMMEAN((F23,M23,T23,AA23,AH23,AO23,AV23,BC23,BJ23,BQ23,CE23,CL23,CS23,CZ23,DG23),(2/15))</f>
        <v>2487347.4577360027</v>
      </c>
      <c r="DP23" s="72">
        <f t="shared" si="55"/>
        <v>2400000</v>
      </c>
      <c r="DQ23" s="86" t="str">
        <f t="shared" si="56"/>
        <v>N/A</v>
      </c>
      <c r="DR23" s="88">
        <f>+STDEV(F23,M23,T23,AA23,AH23,AO23,AV23,BC23,BJ23,BQ23,CE23,CL23,CS23,CZ23,DG23)/DN23</f>
        <v>0.51290311707082592</v>
      </c>
      <c r="DS23" t="s">
        <v>176</v>
      </c>
      <c r="DT23" t="s">
        <v>165</v>
      </c>
    </row>
    <row r="24" spans="1:124" ht="76" thickBot="1" x14ac:dyDescent="0.25">
      <c r="A24" s="1" t="s">
        <v>112</v>
      </c>
      <c r="B24" s="103" t="s">
        <v>113</v>
      </c>
      <c r="C24" s="104"/>
      <c r="D24" s="104"/>
      <c r="E24" s="105"/>
      <c r="F24" s="18" t="s">
        <v>3</v>
      </c>
      <c r="G24" s="19" t="s">
        <v>93</v>
      </c>
      <c r="I24" s="103" t="s">
        <v>113</v>
      </c>
      <c r="J24" s="104"/>
      <c r="K24" s="104"/>
      <c r="L24" s="105"/>
      <c r="M24" s="18" t="s">
        <v>3</v>
      </c>
      <c r="N24" s="19" t="s">
        <v>93</v>
      </c>
      <c r="P24" s="15" t="s">
        <v>113</v>
      </c>
      <c r="Q24" s="16"/>
      <c r="R24" s="16"/>
      <c r="S24" s="17"/>
      <c r="T24" s="18" t="s">
        <v>3</v>
      </c>
      <c r="U24" s="19" t="s">
        <v>93</v>
      </c>
      <c r="W24" s="103" t="s">
        <v>113</v>
      </c>
      <c r="X24" s="104"/>
      <c r="Y24" s="104"/>
      <c r="Z24" s="105"/>
      <c r="AA24" s="18" t="s">
        <v>3</v>
      </c>
      <c r="AB24" s="19" t="s">
        <v>93</v>
      </c>
      <c r="AD24" s="103" t="s">
        <v>113</v>
      </c>
      <c r="AE24" s="104"/>
      <c r="AF24" s="104"/>
      <c r="AG24" s="105"/>
      <c r="AH24" s="18" t="s">
        <v>3</v>
      </c>
      <c r="AI24" s="19" t="s">
        <v>93</v>
      </c>
      <c r="AK24" s="103" t="s">
        <v>113</v>
      </c>
      <c r="AL24" s="104"/>
      <c r="AM24" s="104"/>
      <c r="AN24" s="105"/>
      <c r="AO24" s="18" t="s">
        <v>3</v>
      </c>
      <c r="AP24" s="19" t="s">
        <v>93</v>
      </c>
      <c r="AR24" s="103" t="s">
        <v>113</v>
      </c>
      <c r="AS24" s="104"/>
      <c r="AT24" s="104"/>
      <c r="AU24" s="105"/>
      <c r="AV24" s="18" t="s">
        <v>3</v>
      </c>
      <c r="AW24" s="19" t="s">
        <v>93</v>
      </c>
      <c r="AY24" s="95" t="s">
        <v>113</v>
      </c>
      <c r="AZ24" s="96"/>
      <c r="BA24" s="96"/>
      <c r="BB24" s="97"/>
      <c r="BC24" s="60" t="s">
        <v>3</v>
      </c>
      <c r="BD24" s="61" t="s">
        <v>93</v>
      </c>
      <c r="BF24" s="144"/>
      <c r="BG24" s="145"/>
      <c r="BH24" s="145"/>
      <c r="BI24" s="146"/>
      <c r="BJ24" s="40" t="s">
        <v>3</v>
      </c>
      <c r="BK24" s="41" t="s">
        <v>93</v>
      </c>
      <c r="BM24" s="95" t="s">
        <v>113</v>
      </c>
      <c r="BN24" s="96"/>
      <c r="BO24" s="96"/>
      <c r="BP24" s="97"/>
      <c r="BQ24" s="60" t="s">
        <v>3</v>
      </c>
      <c r="BR24" s="61" t="s">
        <v>93</v>
      </c>
      <c r="BT24" s="103" t="s">
        <v>113</v>
      </c>
      <c r="BU24" s="104"/>
      <c r="BV24" s="104"/>
      <c r="BW24" s="105"/>
      <c r="BX24" s="18" t="s">
        <v>3</v>
      </c>
      <c r="BY24" s="19" t="s">
        <v>93</v>
      </c>
      <c r="CA24" s="103" t="s">
        <v>113</v>
      </c>
      <c r="CB24" s="104"/>
      <c r="CC24" s="104"/>
      <c r="CD24" s="105"/>
      <c r="CE24" s="18" t="s">
        <v>3</v>
      </c>
      <c r="CF24" s="19" t="s">
        <v>93</v>
      </c>
      <c r="CH24" s="103" t="s">
        <v>113</v>
      </c>
      <c r="CI24" s="104"/>
      <c r="CJ24" s="104"/>
      <c r="CK24" s="105"/>
      <c r="CL24" s="18" t="s">
        <v>3</v>
      </c>
      <c r="CM24" s="19" t="s">
        <v>93</v>
      </c>
      <c r="CO24" s="103" t="s">
        <v>228</v>
      </c>
      <c r="CP24" s="104"/>
      <c r="CQ24" s="104"/>
      <c r="CR24" s="105"/>
      <c r="CS24" s="18" t="s">
        <v>202</v>
      </c>
      <c r="CT24" s="19" t="s">
        <v>203</v>
      </c>
      <c r="CV24" s="95" t="s">
        <v>113</v>
      </c>
      <c r="CW24" s="96"/>
      <c r="CX24" s="96"/>
      <c r="CY24" s="97"/>
      <c r="CZ24" s="60" t="s">
        <v>3</v>
      </c>
      <c r="DA24" s="61" t="s">
        <v>93</v>
      </c>
      <c r="DC24" s="103" t="s">
        <v>113</v>
      </c>
      <c r="DD24" s="104"/>
      <c r="DE24" s="104"/>
      <c r="DF24" s="105"/>
      <c r="DG24" s="18" t="s">
        <v>3</v>
      </c>
      <c r="DH24" s="19" t="s">
        <v>93</v>
      </c>
    </row>
    <row r="25" spans="1:124" ht="46" thickBot="1" x14ac:dyDescent="0.25">
      <c r="A25" s="3" t="s">
        <v>5</v>
      </c>
      <c r="B25" s="20" t="s">
        <v>6</v>
      </c>
      <c r="C25" s="20" t="s">
        <v>7</v>
      </c>
      <c r="D25" s="20" t="s">
        <v>8</v>
      </c>
      <c r="E25" s="21" t="s">
        <v>9</v>
      </c>
      <c r="F25" s="106" t="s">
        <v>21</v>
      </c>
      <c r="G25" s="107"/>
      <c r="I25" s="20" t="s">
        <v>6</v>
      </c>
      <c r="J25" s="20" t="s">
        <v>7</v>
      </c>
      <c r="K25" s="20" t="s">
        <v>8</v>
      </c>
      <c r="L25" s="21" t="s">
        <v>9</v>
      </c>
      <c r="M25" s="106" t="s">
        <v>21</v>
      </c>
      <c r="N25" s="107"/>
      <c r="P25" s="20" t="s">
        <v>6</v>
      </c>
      <c r="Q25" s="20" t="s">
        <v>7</v>
      </c>
      <c r="R25" s="20" t="s">
        <v>8</v>
      </c>
      <c r="S25" s="21" t="s">
        <v>9</v>
      </c>
      <c r="T25" s="22" t="s">
        <v>21</v>
      </c>
      <c r="U25" s="23"/>
      <c r="W25" s="20" t="s">
        <v>6</v>
      </c>
      <c r="X25" s="20" t="s">
        <v>7</v>
      </c>
      <c r="Y25" s="20" t="s">
        <v>8</v>
      </c>
      <c r="Z25" s="21" t="s">
        <v>9</v>
      </c>
      <c r="AA25" s="106" t="s">
        <v>21</v>
      </c>
      <c r="AB25" s="107"/>
      <c r="AD25" s="20" t="s">
        <v>6</v>
      </c>
      <c r="AE25" s="20" t="s">
        <v>7</v>
      </c>
      <c r="AF25" s="20" t="s">
        <v>8</v>
      </c>
      <c r="AG25" s="21" t="s">
        <v>9</v>
      </c>
      <c r="AH25" s="106" t="s">
        <v>21</v>
      </c>
      <c r="AI25" s="107"/>
      <c r="AK25" s="20" t="s">
        <v>6</v>
      </c>
      <c r="AL25" s="20" t="s">
        <v>7</v>
      </c>
      <c r="AM25" s="20" t="s">
        <v>8</v>
      </c>
      <c r="AN25" s="21" t="s">
        <v>9</v>
      </c>
      <c r="AO25" s="106" t="s">
        <v>21</v>
      </c>
      <c r="AP25" s="107"/>
      <c r="AR25" s="20" t="s">
        <v>6</v>
      </c>
      <c r="AS25" s="20" t="s">
        <v>7</v>
      </c>
      <c r="AT25" s="20" t="s">
        <v>8</v>
      </c>
      <c r="AU25" s="21" t="s">
        <v>9</v>
      </c>
      <c r="AV25" s="106" t="s">
        <v>21</v>
      </c>
      <c r="AW25" s="107"/>
      <c r="AY25" s="52" t="s">
        <v>6</v>
      </c>
      <c r="AZ25" s="52" t="s">
        <v>7</v>
      </c>
      <c r="BA25" s="52" t="s">
        <v>8</v>
      </c>
      <c r="BB25" s="53" t="s">
        <v>9</v>
      </c>
      <c r="BC25" s="98" t="s">
        <v>21</v>
      </c>
      <c r="BD25" s="97"/>
      <c r="BF25" s="42" t="s">
        <v>6</v>
      </c>
      <c r="BG25" s="42" t="s">
        <v>7</v>
      </c>
      <c r="BH25" s="42" t="s">
        <v>8</v>
      </c>
      <c r="BI25" s="43" t="s">
        <v>9</v>
      </c>
      <c r="BJ25" s="147" t="s">
        <v>21</v>
      </c>
      <c r="BK25" s="148"/>
      <c r="BM25" s="52" t="s">
        <v>6</v>
      </c>
      <c r="BN25" s="52" t="s">
        <v>7</v>
      </c>
      <c r="BO25" s="52" t="s">
        <v>8</v>
      </c>
      <c r="BP25" s="53" t="s">
        <v>9</v>
      </c>
      <c r="BQ25" s="98" t="s">
        <v>21</v>
      </c>
      <c r="BR25" s="97"/>
      <c r="BT25" s="20" t="s">
        <v>6</v>
      </c>
      <c r="BU25" s="20" t="s">
        <v>7</v>
      </c>
      <c r="BV25" s="20" t="s">
        <v>8</v>
      </c>
      <c r="BW25" s="21" t="s">
        <v>9</v>
      </c>
      <c r="BX25" s="106" t="s">
        <v>21</v>
      </c>
      <c r="BY25" s="107"/>
      <c r="CA25" s="20" t="s">
        <v>6</v>
      </c>
      <c r="CB25" s="20" t="s">
        <v>7</v>
      </c>
      <c r="CC25" s="20" t="s">
        <v>8</v>
      </c>
      <c r="CD25" s="21" t="s">
        <v>9</v>
      </c>
      <c r="CE25" s="106" t="s">
        <v>21</v>
      </c>
      <c r="CF25" s="107"/>
      <c r="CH25" s="20" t="s">
        <v>6</v>
      </c>
      <c r="CI25" s="20" t="s">
        <v>7</v>
      </c>
      <c r="CJ25" s="20" t="s">
        <v>8</v>
      </c>
      <c r="CK25" s="21" t="s">
        <v>9</v>
      </c>
      <c r="CL25" s="106" t="s">
        <v>21</v>
      </c>
      <c r="CM25" s="107"/>
      <c r="CO25" s="20" t="s">
        <v>204</v>
      </c>
      <c r="CP25" s="20" t="s">
        <v>205</v>
      </c>
      <c r="CQ25" s="20" t="s">
        <v>206</v>
      </c>
      <c r="CR25" s="21" t="s">
        <v>207</v>
      </c>
      <c r="CS25" s="106" t="s">
        <v>208</v>
      </c>
      <c r="CT25" s="107"/>
      <c r="CV25" s="52" t="s">
        <v>6</v>
      </c>
      <c r="CW25" s="52" t="s">
        <v>7</v>
      </c>
      <c r="CX25" s="52" t="s">
        <v>8</v>
      </c>
      <c r="CY25" s="53" t="s">
        <v>9</v>
      </c>
      <c r="CZ25" s="98" t="s">
        <v>21</v>
      </c>
      <c r="DA25" s="97"/>
      <c r="DC25" s="20" t="s">
        <v>6</v>
      </c>
      <c r="DD25" s="20" t="s">
        <v>7</v>
      </c>
      <c r="DE25" s="20" t="s">
        <v>8</v>
      </c>
      <c r="DF25" s="21" t="s">
        <v>9</v>
      </c>
      <c r="DG25" s="106" t="s">
        <v>21</v>
      </c>
      <c r="DH25" s="107"/>
      <c r="DJ25" s="68" t="s">
        <v>6</v>
      </c>
      <c r="DK25" s="68" t="s">
        <v>7</v>
      </c>
      <c r="DL25" s="69" t="s">
        <v>268</v>
      </c>
      <c r="DM25" s="69" t="s">
        <v>269</v>
      </c>
      <c r="DN25" s="69" t="s">
        <v>270</v>
      </c>
      <c r="DO25" s="69" t="s">
        <v>273</v>
      </c>
      <c r="DP25" s="69" t="s">
        <v>271</v>
      </c>
      <c r="DQ25" s="69" t="s">
        <v>272</v>
      </c>
      <c r="DS25" s="92" t="s">
        <v>291</v>
      </c>
      <c r="DT25" s="92" t="s">
        <v>292</v>
      </c>
    </row>
    <row r="26" spans="1:124" ht="17" thickBot="1" x14ac:dyDescent="0.25">
      <c r="A26" s="167" t="s">
        <v>94</v>
      </c>
      <c r="B26" s="9" t="s">
        <v>114</v>
      </c>
      <c r="C26" s="10" t="s">
        <v>96</v>
      </c>
      <c r="D26" s="11">
        <v>3210000</v>
      </c>
      <c r="E26" s="12">
        <f>(D26*19)/100</f>
        <v>609900</v>
      </c>
      <c r="F26" s="99">
        <f>D26+E26</f>
        <v>3819900</v>
      </c>
      <c r="G26" s="100"/>
      <c r="I26" s="9" t="s">
        <v>114</v>
      </c>
      <c r="J26" s="10" t="s">
        <v>96</v>
      </c>
      <c r="K26" s="11">
        <v>2548000</v>
      </c>
      <c r="L26" s="12">
        <v>0</v>
      </c>
      <c r="M26" s="99">
        <f>K26+L26</f>
        <v>2548000</v>
      </c>
      <c r="N26" s="100"/>
      <c r="P26" s="9" t="s">
        <v>114</v>
      </c>
      <c r="Q26" s="10" t="s">
        <v>96</v>
      </c>
      <c r="R26" s="11">
        <v>2650000</v>
      </c>
      <c r="S26" s="12">
        <v>0</v>
      </c>
      <c r="T26" s="155">
        <f>+R26+S26</f>
        <v>2650000</v>
      </c>
      <c r="U26" s="156"/>
      <c r="W26" s="9" t="s">
        <v>114</v>
      </c>
      <c r="X26" s="10" t="s">
        <v>96</v>
      </c>
      <c r="Y26" s="11">
        <v>1900000</v>
      </c>
      <c r="Z26" s="12">
        <v>0</v>
      </c>
      <c r="AA26" s="99">
        <f>Y26+Z26</f>
        <v>1900000</v>
      </c>
      <c r="AB26" s="100"/>
      <c r="AD26" s="9" t="s">
        <v>114</v>
      </c>
      <c r="AE26" s="10" t="s">
        <v>96</v>
      </c>
      <c r="AF26" s="11">
        <v>1730400</v>
      </c>
      <c r="AG26" s="12">
        <v>0</v>
      </c>
      <c r="AH26" s="99">
        <f>AF26+AG26</f>
        <v>1730400</v>
      </c>
      <c r="AI26" s="100"/>
      <c r="AK26" s="9" t="s">
        <v>114</v>
      </c>
      <c r="AL26" s="10" t="s">
        <v>96</v>
      </c>
      <c r="AM26" s="11">
        <v>770700000</v>
      </c>
      <c r="AN26" s="12">
        <v>0</v>
      </c>
      <c r="AO26" s="114">
        <f>+AM26/700</f>
        <v>1101000</v>
      </c>
      <c r="AP26" s="115"/>
      <c r="AR26" s="9" t="s">
        <v>114</v>
      </c>
      <c r="AS26" s="10" t="s">
        <v>96</v>
      </c>
      <c r="AT26" s="11">
        <v>1666921.3139801375</v>
      </c>
      <c r="AU26" s="12">
        <v>0</v>
      </c>
      <c r="AV26" s="114">
        <f>AT26+AU26</f>
        <v>1666921.3139801375</v>
      </c>
      <c r="AW26" s="115"/>
      <c r="AY26" s="54" t="s">
        <v>114</v>
      </c>
      <c r="AZ26" s="55" t="s">
        <v>96</v>
      </c>
      <c r="BA26" s="56">
        <v>3560078</v>
      </c>
      <c r="BB26" s="57">
        <v>0</v>
      </c>
      <c r="BC26" s="93">
        <f t="shared" ref="BC26:BC29" si="57">BA26+BB26</f>
        <v>3560078</v>
      </c>
      <c r="BD26" s="94"/>
      <c r="BF26" s="34" t="s">
        <v>114</v>
      </c>
      <c r="BG26" s="35" t="s">
        <v>96</v>
      </c>
      <c r="BH26" s="36">
        <v>6790000</v>
      </c>
      <c r="BI26" s="37">
        <v>0</v>
      </c>
      <c r="BJ26" s="142">
        <f>BH26+BI26</f>
        <v>6790000</v>
      </c>
      <c r="BK26" s="143"/>
      <c r="BM26" s="54" t="s">
        <v>114</v>
      </c>
      <c r="BN26" s="55" t="s">
        <v>96</v>
      </c>
      <c r="BO26" s="56">
        <v>3689136.026633841</v>
      </c>
      <c r="BP26" s="57">
        <v>0</v>
      </c>
      <c r="BQ26" s="93">
        <f t="shared" ref="BQ26:BQ29" si="58">BO26+BP26</f>
        <v>3689136.026633841</v>
      </c>
      <c r="BR26" s="94"/>
      <c r="BT26" s="9" t="s">
        <v>114</v>
      </c>
      <c r="BU26" s="10" t="s">
        <v>189</v>
      </c>
      <c r="BV26" s="11">
        <v>718381000</v>
      </c>
      <c r="BW26" s="12">
        <v>0</v>
      </c>
      <c r="BX26" s="114">
        <f>+BV26/245</f>
        <v>2932167.3469387754</v>
      </c>
      <c r="BY26" s="115"/>
      <c r="CA26" s="9" t="s">
        <v>114</v>
      </c>
      <c r="CB26" s="10" t="s">
        <v>96</v>
      </c>
      <c r="CC26" s="11">
        <v>1800000</v>
      </c>
      <c r="CD26" s="12">
        <f>CC26*0.19</f>
        <v>342000</v>
      </c>
      <c r="CE26" s="99">
        <f>CC26+CD26</f>
        <v>2142000</v>
      </c>
      <c r="CF26" s="100"/>
      <c r="CH26" s="9" t="s">
        <v>114</v>
      </c>
      <c r="CI26" s="10" t="s">
        <v>96</v>
      </c>
      <c r="CJ26" s="11">
        <v>3000000</v>
      </c>
      <c r="CK26" s="12">
        <v>0</v>
      </c>
      <c r="CL26" s="99">
        <f>CJ26+CK26</f>
        <v>3000000</v>
      </c>
      <c r="CM26" s="100"/>
      <c r="CO26" s="9" t="s">
        <v>229</v>
      </c>
      <c r="CP26" s="10" t="s">
        <v>210</v>
      </c>
      <c r="CQ26" s="11">
        <v>5200000</v>
      </c>
      <c r="CR26" s="12" t="s">
        <v>211</v>
      </c>
      <c r="CS26" s="99">
        <f>+CQ26</f>
        <v>5200000</v>
      </c>
      <c r="CT26" s="100"/>
      <c r="CV26" s="54" t="s">
        <v>114</v>
      </c>
      <c r="CW26" s="55" t="s">
        <v>96</v>
      </c>
      <c r="CX26" s="56">
        <v>3000000</v>
      </c>
      <c r="CY26" s="57">
        <v>0</v>
      </c>
      <c r="CZ26" s="93">
        <f t="shared" ref="CZ26:CZ29" si="59">CX26+CY26</f>
        <v>3000000</v>
      </c>
      <c r="DA26" s="94"/>
      <c r="DC26" s="9" t="s">
        <v>114</v>
      </c>
      <c r="DD26" s="10" t="s">
        <v>96</v>
      </c>
      <c r="DE26" s="11">
        <f>1165333.33333333*5/3</f>
        <v>1942222.2222222167</v>
      </c>
      <c r="DF26" s="12">
        <f>DE26*0.19</f>
        <v>369022.22222222114</v>
      </c>
      <c r="DG26" s="99">
        <f>DE26+DF26</f>
        <v>2311244.444444438</v>
      </c>
      <c r="DH26" s="100"/>
      <c r="DJ26" s="70" t="s">
        <v>114</v>
      </c>
      <c r="DK26" s="71" t="s">
        <v>96</v>
      </c>
      <c r="DL26" s="72">
        <f>+MAX(F26,M26,T26,AA26,AH26,AO26,AV26,BC26,BJ26,BQ26,BX26,CE26,CL26,CS26,CZ26,DG26)</f>
        <v>6790000</v>
      </c>
      <c r="DM26" s="72">
        <f>+MIN(F26,M26,T26,AA26,AH26,AO26,AV26,BC26,BJ26,BQ26,BX26,CE26,CL26,CS26,CZ26,DG26)</f>
        <v>1101000</v>
      </c>
      <c r="DN26" s="72">
        <f>+AVERAGE(F26,M26,T26,AA26,AH26,AO26,AV26,BC26,BJ26,BQ26,BX26,CE26,CL26,CS26,CZ26,DG26)</f>
        <v>3002552.9457498244</v>
      </c>
      <c r="DO26" s="72">
        <f>+TRIMMEAN((F26,M26,T26,AA26,AH26,AO26,AV26,BC26,BJ26,BQ26,BX26,CE26,CL26,CS26,CZ26,DG26),(2/16))</f>
        <v>2867846.2237140848</v>
      </c>
      <c r="DP26" s="72">
        <f>+MEDIAN(F26,M26,T26,AA26,AH26,AO26,AV26,BC26,BJ26,BQ26,BX26,CE26,CL26,CS26,CZ26,DG26)</f>
        <v>2791083.6734693879</v>
      </c>
      <c r="DQ26" s="72">
        <f>IFERROR(MODE(F26,M26,T26,AA26,AH26,AO26,AV26,BC26,BJ26,BQ26,BX26,CE26,CL26,CS26,CZ26,DG26),"N/A")</f>
        <v>3000000</v>
      </c>
      <c r="DR26" s="88">
        <f>+STDEV(F26,M26,T26,AA26,AH26,AO26,AV26,BC26,BJ26,BQ26,BX26,CE26,CL26,CS26,CZ26,DG26)/DN26</f>
        <v>0.47422662902999546</v>
      </c>
      <c r="DS26" t="s">
        <v>176</v>
      </c>
      <c r="DT26" t="s">
        <v>165</v>
      </c>
    </row>
    <row r="27" spans="1:124" ht="17" thickBot="1" x14ac:dyDescent="0.25">
      <c r="A27" s="168"/>
      <c r="B27" s="9" t="s">
        <v>115</v>
      </c>
      <c r="C27" s="13" t="s">
        <v>98</v>
      </c>
      <c r="D27" s="11">
        <v>2252000</v>
      </c>
      <c r="E27" s="12">
        <f t="shared" ref="E27:E29" si="60">(D27*19)/100</f>
        <v>427880</v>
      </c>
      <c r="F27" s="99">
        <f t="shared" ref="F27:F29" si="61">D27+E27</f>
        <v>2679880</v>
      </c>
      <c r="G27" s="100"/>
      <c r="I27" s="9" t="s">
        <v>115</v>
      </c>
      <c r="J27" s="13" t="s">
        <v>98</v>
      </c>
      <c r="K27" s="11">
        <f>+K26*99.2%</f>
        <v>2527616</v>
      </c>
      <c r="L27" s="12">
        <v>0</v>
      </c>
      <c r="M27" s="99">
        <f t="shared" ref="M27:M29" si="62">K27+L27</f>
        <v>2527616</v>
      </c>
      <c r="N27" s="100"/>
      <c r="P27" s="9" t="s">
        <v>115</v>
      </c>
      <c r="Q27" s="13" t="s">
        <v>98</v>
      </c>
      <c r="R27" s="11">
        <v>2590000</v>
      </c>
      <c r="S27" s="12">
        <v>0</v>
      </c>
      <c r="T27" s="155">
        <f>+R27+S27</f>
        <v>2590000</v>
      </c>
      <c r="U27" s="156"/>
      <c r="W27" s="9" t="s">
        <v>115</v>
      </c>
      <c r="X27" s="13" t="s">
        <v>98</v>
      </c>
      <c r="Y27" s="11">
        <v>1085000</v>
      </c>
      <c r="Z27" s="12">
        <v>0</v>
      </c>
      <c r="AA27" s="99">
        <f t="shared" ref="AA27:AA29" si="63">Y27+Z27</f>
        <v>1085000</v>
      </c>
      <c r="AB27" s="100"/>
      <c r="AD27" s="9" t="s">
        <v>115</v>
      </c>
      <c r="AE27" s="13" t="s">
        <v>98</v>
      </c>
      <c r="AF27" s="11">
        <v>1648600</v>
      </c>
      <c r="AG27" s="12">
        <v>0</v>
      </c>
      <c r="AH27" s="99">
        <f t="shared" ref="AH27:AH29" si="64">AF27+AG27</f>
        <v>1648600</v>
      </c>
      <c r="AI27" s="100"/>
      <c r="AK27" s="9" t="s">
        <v>115</v>
      </c>
      <c r="AL27" s="13" t="s">
        <v>98</v>
      </c>
      <c r="AM27" s="11">
        <v>1397200000</v>
      </c>
      <c r="AN27" s="12">
        <v>0</v>
      </c>
      <c r="AO27" s="114">
        <f>+AM27/1400</f>
        <v>998000</v>
      </c>
      <c r="AP27" s="115"/>
      <c r="AR27" s="9" t="s">
        <v>115</v>
      </c>
      <c r="AS27" s="13" t="s">
        <v>98</v>
      </c>
      <c r="AT27" s="11">
        <v>1618370.2077477062</v>
      </c>
      <c r="AU27" s="12">
        <v>0</v>
      </c>
      <c r="AV27" s="114">
        <f t="shared" ref="AV27:AV29" si="65">AT27+AU27</f>
        <v>1618370.2077477062</v>
      </c>
      <c r="AW27" s="115"/>
      <c r="AY27" s="54" t="s">
        <v>115</v>
      </c>
      <c r="AZ27" s="58" t="s">
        <v>98</v>
      </c>
      <c r="BA27" s="56">
        <v>3495713</v>
      </c>
      <c r="BB27" s="57">
        <v>0</v>
      </c>
      <c r="BC27" s="93">
        <f t="shared" si="57"/>
        <v>3495713</v>
      </c>
      <c r="BD27" s="94"/>
      <c r="BF27" s="34" t="s">
        <v>115</v>
      </c>
      <c r="BG27" s="38" t="s">
        <v>98</v>
      </c>
      <c r="BH27" s="36">
        <v>5800000</v>
      </c>
      <c r="BI27" s="37">
        <v>0</v>
      </c>
      <c r="BJ27" s="142">
        <f t="shared" ref="BJ27:BJ29" si="66">BH27+BI27</f>
        <v>5800000</v>
      </c>
      <c r="BK27" s="143"/>
      <c r="BM27" s="54" t="s">
        <v>115</v>
      </c>
      <c r="BN27" s="58" t="s">
        <v>98</v>
      </c>
      <c r="BO27" s="56">
        <v>3622422.3153691133</v>
      </c>
      <c r="BP27" s="57">
        <v>0</v>
      </c>
      <c r="BQ27" s="93">
        <f t="shared" si="58"/>
        <v>3622422.3153691133</v>
      </c>
      <c r="BR27" s="94"/>
      <c r="BT27" s="9" t="s">
        <v>115</v>
      </c>
      <c r="BU27" s="13" t="s">
        <v>98</v>
      </c>
      <c r="BV27" s="11">
        <v>0</v>
      </c>
      <c r="BW27" s="12">
        <v>0</v>
      </c>
      <c r="BX27" s="151">
        <f t="shared" ref="BX27:BX29" si="67">BV27+BW27</f>
        <v>0</v>
      </c>
      <c r="BY27" s="152"/>
      <c r="CA27" s="9" t="s">
        <v>115</v>
      </c>
      <c r="CB27" s="13" t="s">
        <v>98</v>
      </c>
      <c r="CC27" s="11">
        <v>1700000</v>
      </c>
      <c r="CD27" s="12">
        <f t="shared" ref="CD27:CD29" si="68">CC27*0.19</f>
        <v>323000</v>
      </c>
      <c r="CE27" s="99">
        <f t="shared" ref="CE27:CE29" si="69">CC27+CD27</f>
        <v>2023000</v>
      </c>
      <c r="CF27" s="100"/>
      <c r="CH27" s="9" t="s">
        <v>115</v>
      </c>
      <c r="CI27" s="13" t="s">
        <v>98</v>
      </c>
      <c r="CJ27" s="11">
        <v>2800000</v>
      </c>
      <c r="CK27" s="12">
        <v>0</v>
      </c>
      <c r="CL27" s="99">
        <f>CJ27+CK27</f>
        <v>2800000</v>
      </c>
      <c r="CM27" s="100"/>
      <c r="CO27" s="9" t="s">
        <v>230</v>
      </c>
      <c r="CP27" s="13" t="s">
        <v>213</v>
      </c>
      <c r="CQ27" s="11">
        <v>4400000</v>
      </c>
      <c r="CR27" s="12" t="s">
        <v>211</v>
      </c>
      <c r="CS27" s="99">
        <v>4400000</v>
      </c>
      <c r="CT27" s="100"/>
      <c r="CV27" s="54" t="s">
        <v>115</v>
      </c>
      <c r="CW27" s="58" t="s">
        <v>98</v>
      </c>
      <c r="CX27" s="56">
        <v>3000000</v>
      </c>
      <c r="CY27" s="57">
        <v>0</v>
      </c>
      <c r="CZ27" s="93">
        <f t="shared" si="59"/>
        <v>3000000</v>
      </c>
      <c r="DA27" s="94"/>
      <c r="DC27" s="9" t="s">
        <v>115</v>
      </c>
      <c r="DD27" s="13" t="s">
        <v>98</v>
      </c>
      <c r="DE27" s="11">
        <f>526333.333333333*5/3</f>
        <v>877222.22222222167</v>
      </c>
      <c r="DF27" s="12">
        <f>DE27*0.19</f>
        <v>166672.22222222213</v>
      </c>
      <c r="DG27" s="99">
        <f t="shared" ref="DG27:DG29" si="70">DE27+DF27</f>
        <v>1043894.4444444438</v>
      </c>
      <c r="DH27" s="100"/>
      <c r="DJ27" s="70" t="s">
        <v>115</v>
      </c>
      <c r="DK27" s="71" t="s">
        <v>98</v>
      </c>
      <c r="DL27" s="72">
        <f>+MAX(F27,M27,T27,AA27,AH27,AO27,AV27,BC27,BJ27,BQ27,CE27,CL27,CS27,CZ27,DG27)</f>
        <v>5800000</v>
      </c>
      <c r="DM27" s="72">
        <f>+MIN(F27,M27,T27,AA27,AH27,AO27,AV27,BC27,BJ27,BQ27,CE27,CL27,CS27,CZ27,DG27)</f>
        <v>998000</v>
      </c>
      <c r="DN27" s="72">
        <f>+AVERAGE(F27,M27,T27,AA27,AH27,AO27,AV27,BC27,BJ27,BQ27,CE27,CL27,CS27,CZ27,DG27)</f>
        <v>2622166.3978374172</v>
      </c>
      <c r="DO27" s="72">
        <f>+TRIMMEAN((F27,M27,T27,AA27,AH27,AO27,AV27,BC27,BJ27,BQ27,CE27,CL27,CS27,CZ27,DG27),(2/15))</f>
        <v>2502653.535966251</v>
      </c>
      <c r="DP27" s="72">
        <f>+MEDIAN(F27,M27,T27,AA27,AH27,AO27,AV27,BC27,BJ27,BQ27,CE27,CL27,CS27,CZ27,DG27)</f>
        <v>2590000</v>
      </c>
      <c r="DQ27" s="86" t="str">
        <f>IFERROR(MODE(F27,M27,T27,AA27,AH27,AO27,AV27,BC27,BJ27,BQ27,CE27,CL27,CS27,CZ27,DG27),"N/A")</f>
        <v>N/A</v>
      </c>
      <c r="DR27" s="88">
        <f>+STDEV(F27,M27,T27,AA27,AH27,AO27,AV27,BC27,BJ27,BQ27,CE27,CL27,CS27,CZ27,DG27)/DN27</f>
        <v>0.50979015613184442</v>
      </c>
      <c r="DS27" t="s">
        <v>176</v>
      </c>
      <c r="DT27" t="s">
        <v>165</v>
      </c>
    </row>
    <row r="28" spans="1:124" ht="17" thickBot="1" x14ac:dyDescent="0.25">
      <c r="A28" s="168"/>
      <c r="B28" s="9" t="s">
        <v>116</v>
      </c>
      <c r="C28" s="13" t="s">
        <v>100</v>
      </c>
      <c r="D28" s="11">
        <v>1916000</v>
      </c>
      <c r="E28" s="12">
        <f t="shared" si="60"/>
        <v>364040</v>
      </c>
      <c r="F28" s="99">
        <f t="shared" si="61"/>
        <v>2280040</v>
      </c>
      <c r="G28" s="100"/>
      <c r="I28" s="9" t="s">
        <v>116</v>
      </c>
      <c r="J28" s="13" t="s">
        <v>100</v>
      </c>
      <c r="K28" s="11">
        <f>+K26*98.9%</f>
        <v>2519972.0000000005</v>
      </c>
      <c r="L28" s="12">
        <v>0</v>
      </c>
      <c r="M28" s="99">
        <f t="shared" si="62"/>
        <v>2519972.0000000005</v>
      </c>
      <c r="N28" s="100"/>
      <c r="P28" s="9" t="s">
        <v>116</v>
      </c>
      <c r="Q28" s="13" t="s">
        <v>100</v>
      </c>
      <c r="R28" s="11">
        <v>2470000</v>
      </c>
      <c r="S28" s="12">
        <v>0</v>
      </c>
      <c r="T28" s="155">
        <f>+R28+S28</f>
        <v>2470000</v>
      </c>
      <c r="U28" s="156"/>
      <c r="W28" s="9" t="s">
        <v>116</v>
      </c>
      <c r="X28" s="13" t="s">
        <v>100</v>
      </c>
      <c r="Y28" s="11">
        <v>1714750</v>
      </c>
      <c r="Z28" s="12">
        <v>0</v>
      </c>
      <c r="AA28" s="99">
        <f t="shared" si="63"/>
        <v>1714750</v>
      </c>
      <c r="AB28" s="100"/>
      <c r="AD28" s="9" t="s">
        <v>116</v>
      </c>
      <c r="AE28" s="13" t="s">
        <v>100</v>
      </c>
      <c r="AF28" s="11">
        <v>1566900</v>
      </c>
      <c r="AG28" s="12">
        <v>0</v>
      </c>
      <c r="AH28" s="99">
        <f t="shared" si="64"/>
        <v>1566900</v>
      </c>
      <c r="AI28" s="100"/>
      <c r="AK28" s="9" t="s">
        <v>116</v>
      </c>
      <c r="AL28" s="13" t="s">
        <v>100</v>
      </c>
      <c r="AM28" s="11">
        <v>1449000000</v>
      </c>
      <c r="AN28" s="12">
        <v>0</v>
      </c>
      <c r="AO28" s="114">
        <f>+AM28/2000</f>
        <v>724500</v>
      </c>
      <c r="AP28" s="115"/>
      <c r="AR28" s="9" t="s">
        <v>116</v>
      </c>
      <c r="AS28" s="13" t="s">
        <v>100</v>
      </c>
      <c r="AT28" s="11">
        <v>1602808.9557501322</v>
      </c>
      <c r="AU28" s="12">
        <v>0</v>
      </c>
      <c r="AV28" s="114">
        <f t="shared" si="65"/>
        <v>1602808.9557501322</v>
      </c>
      <c r="AW28" s="115"/>
      <c r="AY28" s="54" t="s">
        <v>116</v>
      </c>
      <c r="AZ28" s="58" t="s">
        <v>100</v>
      </c>
      <c r="BA28" s="56">
        <v>3423434</v>
      </c>
      <c r="BB28" s="57">
        <v>0</v>
      </c>
      <c r="BC28" s="93">
        <f t="shared" si="57"/>
        <v>3423434</v>
      </c>
      <c r="BD28" s="94"/>
      <c r="BF28" s="34" t="s">
        <v>116</v>
      </c>
      <c r="BG28" s="38" t="s">
        <v>100</v>
      </c>
      <c r="BH28" s="36">
        <v>5800000</v>
      </c>
      <c r="BI28" s="37">
        <v>0</v>
      </c>
      <c r="BJ28" s="142">
        <f t="shared" si="66"/>
        <v>5800000</v>
      </c>
      <c r="BK28" s="143"/>
      <c r="BM28" s="54" t="s">
        <v>116</v>
      </c>
      <c r="BN28" s="58" t="s">
        <v>100</v>
      </c>
      <c r="BO28" s="56">
        <v>3547581.467745882</v>
      </c>
      <c r="BP28" s="57">
        <v>0</v>
      </c>
      <c r="BQ28" s="93">
        <f t="shared" si="58"/>
        <v>3547581.467745882</v>
      </c>
      <c r="BR28" s="94"/>
      <c r="BT28" s="9" t="s">
        <v>116</v>
      </c>
      <c r="BU28" s="13" t="s">
        <v>100</v>
      </c>
      <c r="BV28" s="11">
        <v>0</v>
      </c>
      <c r="BW28" s="12">
        <v>0</v>
      </c>
      <c r="BX28" s="151">
        <f t="shared" si="67"/>
        <v>0</v>
      </c>
      <c r="BY28" s="152"/>
      <c r="CA28" s="9" t="s">
        <v>116</v>
      </c>
      <c r="CB28" s="13" t="s">
        <v>100</v>
      </c>
      <c r="CC28" s="11">
        <v>1600000</v>
      </c>
      <c r="CD28" s="12">
        <f t="shared" si="68"/>
        <v>304000</v>
      </c>
      <c r="CE28" s="99">
        <f t="shared" si="69"/>
        <v>1904000</v>
      </c>
      <c r="CF28" s="100"/>
      <c r="CH28" s="9" t="s">
        <v>116</v>
      </c>
      <c r="CI28" s="13" t="s">
        <v>100</v>
      </c>
      <c r="CJ28" s="11">
        <v>2720000</v>
      </c>
      <c r="CK28" s="12">
        <v>0</v>
      </c>
      <c r="CL28" s="99">
        <f>CJ28+CK28</f>
        <v>2720000</v>
      </c>
      <c r="CM28" s="100"/>
      <c r="CO28" s="9" t="s">
        <v>231</v>
      </c>
      <c r="CP28" s="13" t="s">
        <v>215</v>
      </c>
      <c r="CQ28" s="11">
        <v>4000000</v>
      </c>
      <c r="CR28" s="12" t="s">
        <v>211</v>
      </c>
      <c r="CS28" s="99">
        <v>4000000</v>
      </c>
      <c r="CT28" s="100"/>
      <c r="CV28" s="54" t="s">
        <v>116</v>
      </c>
      <c r="CW28" s="58" t="s">
        <v>100</v>
      </c>
      <c r="CX28" s="56">
        <v>3000000</v>
      </c>
      <c r="CY28" s="57">
        <v>0</v>
      </c>
      <c r="CZ28" s="93">
        <f t="shared" si="59"/>
        <v>3000000</v>
      </c>
      <c r="DA28" s="94"/>
      <c r="DC28" s="9" t="s">
        <v>116</v>
      </c>
      <c r="DD28" s="13" t="s">
        <v>100</v>
      </c>
      <c r="DE28" s="11">
        <f>DE27</f>
        <v>877222.22222222167</v>
      </c>
      <c r="DF28" s="12">
        <f>DE28*0.19</f>
        <v>166672.22222222213</v>
      </c>
      <c r="DG28" s="99">
        <f t="shared" si="70"/>
        <v>1043894.4444444438</v>
      </c>
      <c r="DH28" s="100"/>
      <c r="DJ28" s="70" t="s">
        <v>116</v>
      </c>
      <c r="DK28" s="71" t="s">
        <v>100</v>
      </c>
      <c r="DL28" s="72">
        <f t="shared" ref="DL28:DL29" si="71">+MAX(F28,M28,T28,AA28,AH28,AO28,AV28,BC28,BJ28,BQ28,CE28,CL28,CS28,CZ28,DG28)</f>
        <v>5800000</v>
      </c>
      <c r="DM28" s="72">
        <f t="shared" ref="DM28:DM29" si="72">+MIN(F28,M28,T28,AA28,AH28,AO28,AV28,BC28,BJ28,BQ28,CE28,CL28,CS28,CZ28,DG28)</f>
        <v>724500</v>
      </c>
      <c r="DN28" s="72">
        <f t="shared" ref="DN28:DN29" si="73">+AVERAGE(F28,M28,T28,AA28,AH28,AO28,AV28,BC28,BJ28,BQ28,CE28,CL28,CS28,CZ28,DG28)</f>
        <v>2554525.3911960297</v>
      </c>
      <c r="DO28" s="72">
        <f>+TRIMMEAN((F28,M28,T28,AA28,AH28,AO28,AV28,BC28,BJ28,BQ28,CE28,CL28,CS28,CZ28,DG28),(2/15))</f>
        <v>2445644.6821492659</v>
      </c>
      <c r="DP28" s="72">
        <f t="shared" ref="DP28:DP29" si="74">+MEDIAN(F28,M28,T28,AA28,AH28,AO28,AV28,BC28,BJ28,BQ28,CE28,CL28,CS28,CZ28,DG28)</f>
        <v>2470000</v>
      </c>
      <c r="DQ28" s="86" t="str">
        <f t="shared" ref="DQ28:DQ29" si="75">IFERROR(MODE(F28,M28,T28,AA28,AH28,AO28,AV28,BC28,BJ28,BQ28,CE28,CL28,CS28,CZ28,DG28),"N/A")</f>
        <v>N/A</v>
      </c>
      <c r="DR28" s="88">
        <f>+STDEV(F28,M28,T28,AA28,AH28,AO28,AV28,BC28,BJ28,BQ28,CE28,CL28,CS28,CZ28,DG28)/DN28</f>
        <v>0.50516331683650773</v>
      </c>
      <c r="DS28" t="s">
        <v>176</v>
      </c>
      <c r="DT28" t="s">
        <v>165</v>
      </c>
    </row>
    <row r="29" spans="1:124" ht="17" customHeight="1" thickBot="1" x14ac:dyDescent="0.25">
      <c r="A29" s="169"/>
      <c r="B29" s="9" t="s">
        <v>117</v>
      </c>
      <c r="C29" s="14" t="s">
        <v>102</v>
      </c>
      <c r="D29" s="11">
        <v>1854000</v>
      </c>
      <c r="E29" s="12">
        <f t="shared" si="60"/>
        <v>352260</v>
      </c>
      <c r="F29" s="99">
        <f t="shared" si="61"/>
        <v>2206260</v>
      </c>
      <c r="G29" s="100"/>
      <c r="I29" s="9" t="s">
        <v>117</v>
      </c>
      <c r="J29" s="14" t="s">
        <v>102</v>
      </c>
      <c r="K29" s="11">
        <f>+K26*97%</f>
        <v>2471560</v>
      </c>
      <c r="L29" s="12">
        <v>0</v>
      </c>
      <c r="M29" s="99">
        <f t="shared" si="62"/>
        <v>2471560</v>
      </c>
      <c r="N29" s="100"/>
      <c r="P29" s="9" t="s">
        <v>117</v>
      </c>
      <c r="Q29" s="14" t="s">
        <v>102</v>
      </c>
      <c r="R29" s="11">
        <v>2400000</v>
      </c>
      <c r="S29" s="12">
        <v>0</v>
      </c>
      <c r="T29" s="155">
        <f>+R29+S29</f>
        <v>2400000</v>
      </c>
      <c r="U29" s="156"/>
      <c r="W29" s="9" t="s">
        <v>117</v>
      </c>
      <c r="X29" s="14" t="s">
        <v>102</v>
      </c>
      <c r="Y29" s="11">
        <v>1627012</v>
      </c>
      <c r="Z29" s="12">
        <v>0</v>
      </c>
      <c r="AA29" s="99">
        <f t="shared" si="63"/>
        <v>1627012</v>
      </c>
      <c r="AB29" s="100"/>
      <c r="AD29" s="9" t="s">
        <v>117</v>
      </c>
      <c r="AE29" s="14" t="s">
        <v>102</v>
      </c>
      <c r="AF29" s="11">
        <v>1534200</v>
      </c>
      <c r="AG29" s="12">
        <v>0</v>
      </c>
      <c r="AH29" s="99">
        <f t="shared" si="64"/>
        <v>1534200</v>
      </c>
      <c r="AI29" s="100"/>
      <c r="AK29" s="9" t="s">
        <v>117</v>
      </c>
      <c r="AL29" s="14" t="s">
        <v>102</v>
      </c>
      <c r="AM29" s="11">
        <v>1449000000</v>
      </c>
      <c r="AN29" s="12">
        <v>0</v>
      </c>
      <c r="AO29" s="114">
        <f>+AM29/2001</f>
        <v>724137.93103448278</v>
      </c>
      <c r="AP29" s="115"/>
      <c r="AR29" s="9" t="s">
        <v>117</v>
      </c>
      <c r="AS29" s="14" t="s">
        <v>102</v>
      </c>
      <c r="AT29" s="11">
        <v>1587544.1085525118</v>
      </c>
      <c r="AU29" s="12">
        <v>0</v>
      </c>
      <c r="AV29" s="114">
        <f t="shared" si="65"/>
        <v>1587544.1085525118</v>
      </c>
      <c r="AW29" s="115"/>
      <c r="AY29" s="54" t="s">
        <v>117</v>
      </c>
      <c r="AZ29" s="59" t="s">
        <v>102</v>
      </c>
      <c r="BA29" s="56">
        <v>3334944</v>
      </c>
      <c r="BB29" s="57">
        <v>0</v>
      </c>
      <c r="BC29" s="93">
        <f t="shared" si="57"/>
        <v>3334944</v>
      </c>
      <c r="BD29" s="94"/>
      <c r="BF29" s="34" t="s">
        <v>117</v>
      </c>
      <c r="BG29" s="39" t="s">
        <v>102</v>
      </c>
      <c r="BH29" s="36">
        <v>5700000</v>
      </c>
      <c r="BI29" s="37">
        <v>0</v>
      </c>
      <c r="BJ29" s="142">
        <f t="shared" si="66"/>
        <v>5700000</v>
      </c>
      <c r="BK29" s="143"/>
      <c r="BM29" s="54" t="s">
        <v>117</v>
      </c>
      <c r="BN29" s="59" t="s">
        <v>102</v>
      </c>
      <c r="BO29" s="56">
        <v>3455861.1090322323</v>
      </c>
      <c r="BP29" s="57">
        <v>0</v>
      </c>
      <c r="BQ29" s="93">
        <f t="shared" si="58"/>
        <v>3455861.1090322323</v>
      </c>
      <c r="BR29" s="94"/>
      <c r="BT29" s="9" t="s">
        <v>117</v>
      </c>
      <c r="BU29" s="14" t="s">
        <v>102</v>
      </c>
      <c r="BV29" s="11">
        <v>0</v>
      </c>
      <c r="BW29" s="12">
        <v>0</v>
      </c>
      <c r="BX29" s="151">
        <f t="shared" si="67"/>
        <v>0</v>
      </c>
      <c r="BY29" s="152"/>
      <c r="CA29" s="9" t="s">
        <v>117</v>
      </c>
      <c r="CB29" s="14" t="s">
        <v>102</v>
      </c>
      <c r="CC29" s="11">
        <v>1500000</v>
      </c>
      <c r="CD29" s="12">
        <f t="shared" si="68"/>
        <v>285000</v>
      </c>
      <c r="CE29" s="99">
        <f t="shared" si="69"/>
        <v>1785000</v>
      </c>
      <c r="CF29" s="100"/>
      <c r="CH29" s="9" t="s">
        <v>117</v>
      </c>
      <c r="CI29" s="14" t="s">
        <v>102</v>
      </c>
      <c r="CJ29" s="11">
        <v>2700000</v>
      </c>
      <c r="CK29" s="12">
        <v>0</v>
      </c>
      <c r="CL29" s="99">
        <f>CJ29+CK29</f>
        <v>2700000</v>
      </c>
      <c r="CM29" s="100"/>
      <c r="CO29" s="9" t="s">
        <v>232</v>
      </c>
      <c r="CP29" s="14" t="s">
        <v>217</v>
      </c>
      <c r="CQ29" s="11">
        <v>3800000</v>
      </c>
      <c r="CR29" s="12" t="s">
        <v>211</v>
      </c>
      <c r="CS29" s="99">
        <v>3800000</v>
      </c>
      <c r="CT29" s="100"/>
      <c r="CV29" s="54" t="s">
        <v>117</v>
      </c>
      <c r="CW29" s="59" t="s">
        <v>102</v>
      </c>
      <c r="CX29" s="56">
        <v>3000000</v>
      </c>
      <c r="CY29" s="57">
        <v>0</v>
      </c>
      <c r="CZ29" s="93">
        <f t="shared" si="59"/>
        <v>3000000</v>
      </c>
      <c r="DA29" s="94"/>
      <c r="DC29" s="9" t="s">
        <v>117</v>
      </c>
      <c r="DD29" s="14" t="s">
        <v>102</v>
      </c>
      <c r="DE29" s="11">
        <f>DE28</f>
        <v>877222.22222222167</v>
      </c>
      <c r="DF29" s="12">
        <f>DE29*0.19</f>
        <v>166672.22222222213</v>
      </c>
      <c r="DG29" s="99">
        <f t="shared" si="70"/>
        <v>1043894.4444444438</v>
      </c>
      <c r="DH29" s="100"/>
      <c r="DJ29" s="70" t="s">
        <v>117</v>
      </c>
      <c r="DK29" s="71" t="s">
        <v>102</v>
      </c>
      <c r="DL29" s="72">
        <f t="shared" si="71"/>
        <v>5700000</v>
      </c>
      <c r="DM29" s="72">
        <f t="shared" si="72"/>
        <v>724137.93103448278</v>
      </c>
      <c r="DN29" s="72">
        <f t="shared" si="73"/>
        <v>2491360.9062042446</v>
      </c>
      <c r="DO29" s="72">
        <f>+TRIMMEAN((F29,M29,T29,AA29,AH29,AO29,AV29,BC29,BJ29,BQ29,CE29,CL29,CS29,CZ29,DG29),(2/15))</f>
        <v>2380482.7432330144</v>
      </c>
      <c r="DP29" s="72">
        <f t="shared" si="74"/>
        <v>2400000</v>
      </c>
      <c r="DQ29" s="86" t="str">
        <f t="shared" si="75"/>
        <v>N/A</v>
      </c>
      <c r="DR29" s="88">
        <f>+STDEV(F29,M29,T29,AA29,AH29,AO29,AV29,BC29,BJ29,BQ29,CE29,CL29,CS29,CZ29,DG29)/DN29</f>
        <v>0.50589536195314133</v>
      </c>
      <c r="DS29" t="s">
        <v>176</v>
      </c>
      <c r="DT29" t="s">
        <v>165</v>
      </c>
    </row>
    <row r="30" spans="1:124" ht="76" thickBot="1" x14ac:dyDescent="0.25">
      <c r="A30" s="1" t="s">
        <v>112</v>
      </c>
      <c r="B30" s="103" t="s">
        <v>113</v>
      </c>
      <c r="C30" s="104"/>
      <c r="D30" s="104"/>
      <c r="E30" s="105"/>
      <c r="F30" s="18" t="s">
        <v>3</v>
      </c>
      <c r="G30" s="19" t="s">
        <v>27</v>
      </c>
      <c r="I30" s="103" t="s">
        <v>113</v>
      </c>
      <c r="J30" s="104"/>
      <c r="K30" s="104"/>
      <c r="L30" s="105"/>
      <c r="M30" s="18" t="s">
        <v>3</v>
      </c>
      <c r="N30" s="19" t="s">
        <v>27</v>
      </c>
      <c r="P30" s="15" t="s">
        <v>113</v>
      </c>
      <c r="Q30" s="16"/>
      <c r="R30" s="16"/>
      <c r="S30" s="17"/>
      <c r="T30" s="18" t="s">
        <v>3</v>
      </c>
      <c r="U30" s="19" t="s">
        <v>27</v>
      </c>
      <c r="W30" s="103" t="s">
        <v>113</v>
      </c>
      <c r="X30" s="104"/>
      <c r="Y30" s="104"/>
      <c r="Z30" s="105"/>
      <c r="AA30" s="18" t="s">
        <v>3</v>
      </c>
      <c r="AB30" s="19" t="s">
        <v>27</v>
      </c>
      <c r="AD30" s="103" t="s">
        <v>113</v>
      </c>
      <c r="AE30" s="104"/>
      <c r="AF30" s="104"/>
      <c r="AG30" s="105"/>
      <c r="AH30" s="18" t="s">
        <v>3</v>
      </c>
      <c r="AI30" s="19" t="s">
        <v>27</v>
      </c>
      <c r="AK30" s="103" t="s">
        <v>113</v>
      </c>
      <c r="AL30" s="104"/>
      <c r="AM30" s="104"/>
      <c r="AN30" s="105"/>
      <c r="AO30" s="18" t="s">
        <v>3</v>
      </c>
      <c r="AP30" s="19" t="s">
        <v>27</v>
      </c>
      <c r="AR30" s="103" t="s">
        <v>113</v>
      </c>
      <c r="AS30" s="104"/>
      <c r="AT30" s="104"/>
      <c r="AU30" s="105"/>
      <c r="AV30" s="18" t="s">
        <v>3</v>
      </c>
      <c r="AW30" s="19" t="s">
        <v>27</v>
      </c>
      <c r="AY30" s="95" t="s">
        <v>113</v>
      </c>
      <c r="AZ30" s="96"/>
      <c r="BA30" s="96"/>
      <c r="BB30" s="97"/>
      <c r="BC30" s="60" t="s">
        <v>3</v>
      </c>
      <c r="BD30" s="61" t="s">
        <v>27</v>
      </c>
      <c r="BF30" s="144" t="s">
        <v>113</v>
      </c>
      <c r="BG30" s="145"/>
      <c r="BH30" s="145"/>
      <c r="BI30" s="146"/>
      <c r="BJ30" s="40" t="s">
        <v>3</v>
      </c>
      <c r="BK30" s="41" t="s">
        <v>27</v>
      </c>
      <c r="BM30" s="95" t="s">
        <v>113</v>
      </c>
      <c r="BN30" s="96"/>
      <c r="BO30" s="96"/>
      <c r="BP30" s="97"/>
      <c r="BQ30" s="60" t="s">
        <v>3</v>
      </c>
      <c r="BR30" s="61" t="s">
        <v>27</v>
      </c>
      <c r="BT30" s="103" t="s">
        <v>113</v>
      </c>
      <c r="BU30" s="104"/>
      <c r="BV30" s="104"/>
      <c r="BW30" s="105"/>
      <c r="BX30" s="18" t="s">
        <v>3</v>
      </c>
      <c r="BY30" s="19" t="s">
        <v>27</v>
      </c>
      <c r="CA30" s="103" t="s">
        <v>113</v>
      </c>
      <c r="CB30" s="104"/>
      <c r="CC30" s="104"/>
      <c r="CD30" s="105"/>
      <c r="CE30" s="18" t="s">
        <v>3</v>
      </c>
      <c r="CF30" s="19" t="s">
        <v>27</v>
      </c>
      <c r="CH30" s="103" t="s">
        <v>113</v>
      </c>
      <c r="CI30" s="104"/>
      <c r="CJ30" s="104"/>
      <c r="CK30" s="105"/>
      <c r="CL30" s="18" t="s">
        <v>3</v>
      </c>
      <c r="CM30" s="19" t="s">
        <v>27</v>
      </c>
      <c r="CO30" s="103" t="s">
        <v>228</v>
      </c>
      <c r="CP30" s="104"/>
      <c r="CQ30" s="104"/>
      <c r="CR30" s="105"/>
      <c r="CS30" s="18" t="s">
        <v>202</v>
      </c>
      <c r="CT30" s="19" t="s">
        <v>218</v>
      </c>
      <c r="CV30" s="95" t="s">
        <v>113</v>
      </c>
      <c r="CW30" s="96"/>
      <c r="CX30" s="96"/>
      <c r="CY30" s="97"/>
      <c r="CZ30" s="60" t="s">
        <v>3</v>
      </c>
      <c r="DA30" s="61" t="s">
        <v>27</v>
      </c>
      <c r="DC30" s="103" t="s">
        <v>113</v>
      </c>
      <c r="DD30" s="104"/>
      <c r="DE30" s="104"/>
      <c r="DF30" s="105"/>
      <c r="DG30" s="18" t="s">
        <v>3</v>
      </c>
      <c r="DH30" s="19" t="s">
        <v>27</v>
      </c>
    </row>
    <row r="31" spans="1:124" ht="46" thickBot="1" x14ac:dyDescent="0.25">
      <c r="A31" s="3" t="s">
        <v>5</v>
      </c>
      <c r="B31" s="20" t="s">
        <v>6</v>
      </c>
      <c r="C31" s="20" t="s">
        <v>7</v>
      </c>
      <c r="D31" s="20" t="s">
        <v>8</v>
      </c>
      <c r="E31" s="21" t="s">
        <v>9</v>
      </c>
      <c r="F31" s="106" t="s">
        <v>21</v>
      </c>
      <c r="G31" s="107"/>
      <c r="I31" s="20" t="s">
        <v>6</v>
      </c>
      <c r="J31" s="20" t="s">
        <v>7</v>
      </c>
      <c r="K31" s="20" t="s">
        <v>8</v>
      </c>
      <c r="L31" s="21" t="s">
        <v>9</v>
      </c>
      <c r="M31" s="106" t="s">
        <v>21</v>
      </c>
      <c r="N31" s="107"/>
      <c r="P31" s="20" t="s">
        <v>6</v>
      </c>
      <c r="Q31" s="20" t="s">
        <v>7</v>
      </c>
      <c r="R31" s="20" t="s">
        <v>8</v>
      </c>
      <c r="S31" s="21" t="s">
        <v>9</v>
      </c>
      <c r="T31" s="22" t="s">
        <v>21</v>
      </c>
      <c r="U31" s="23"/>
      <c r="W31" s="20" t="s">
        <v>6</v>
      </c>
      <c r="X31" s="20" t="s">
        <v>7</v>
      </c>
      <c r="Y31" s="20" t="s">
        <v>8</v>
      </c>
      <c r="Z31" s="21" t="s">
        <v>9</v>
      </c>
      <c r="AA31" s="106" t="s">
        <v>21</v>
      </c>
      <c r="AB31" s="107"/>
      <c r="AD31" s="20" t="s">
        <v>6</v>
      </c>
      <c r="AE31" s="20" t="s">
        <v>7</v>
      </c>
      <c r="AF31" s="20" t="s">
        <v>8</v>
      </c>
      <c r="AG31" s="21" t="s">
        <v>9</v>
      </c>
      <c r="AH31" s="106" t="s">
        <v>21</v>
      </c>
      <c r="AI31" s="107"/>
      <c r="AK31" s="20" t="s">
        <v>6</v>
      </c>
      <c r="AL31" s="20" t="s">
        <v>7</v>
      </c>
      <c r="AM31" s="20" t="s">
        <v>8</v>
      </c>
      <c r="AN31" s="21" t="s">
        <v>9</v>
      </c>
      <c r="AO31" s="106" t="s">
        <v>21</v>
      </c>
      <c r="AP31" s="107"/>
      <c r="AR31" s="20" t="s">
        <v>6</v>
      </c>
      <c r="AS31" s="20" t="s">
        <v>7</v>
      </c>
      <c r="AT31" s="20" t="s">
        <v>8</v>
      </c>
      <c r="AU31" s="21" t="s">
        <v>9</v>
      </c>
      <c r="AV31" s="106" t="s">
        <v>21</v>
      </c>
      <c r="AW31" s="107"/>
      <c r="AY31" s="52" t="s">
        <v>6</v>
      </c>
      <c r="AZ31" s="52" t="s">
        <v>7</v>
      </c>
      <c r="BA31" s="52" t="s">
        <v>8</v>
      </c>
      <c r="BB31" s="53" t="s">
        <v>9</v>
      </c>
      <c r="BC31" s="98" t="s">
        <v>21</v>
      </c>
      <c r="BD31" s="97"/>
      <c r="BF31" s="42" t="s">
        <v>6</v>
      </c>
      <c r="BG31" s="42" t="s">
        <v>7</v>
      </c>
      <c r="BH31" s="42" t="s">
        <v>8</v>
      </c>
      <c r="BI31" s="43" t="s">
        <v>9</v>
      </c>
      <c r="BJ31" s="147" t="s">
        <v>21</v>
      </c>
      <c r="BK31" s="148"/>
      <c r="BM31" s="52" t="s">
        <v>6</v>
      </c>
      <c r="BN31" s="52" t="s">
        <v>7</v>
      </c>
      <c r="BO31" s="52" t="s">
        <v>8</v>
      </c>
      <c r="BP31" s="53" t="s">
        <v>9</v>
      </c>
      <c r="BQ31" s="98" t="s">
        <v>21</v>
      </c>
      <c r="BR31" s="97"/>
      <c r="BT31" s="20" t="s">
        <v>6</v>
      </c>
      <c r="BU31" s="20" t="s">
        <v>7</v>
      </c>
      <c r="BV31" s="20" t="s">
        <v>8</v>
      </c>
      <c r="BW31" s="21" t="s">
        <v>9</v>
      </c>
      <c r="BX31" s="106" t="s">
        <v>21</v>
      </c>
      <c r="BY31" s="107"/>
      <c r="CA31" s="20" t="s">
        <v>6</v>
      </c>
      <c r="CB31" s="20" t="s">
        <v>7</v>
      </c>
      <c r="CC31" s="20" t="s">
        <v>8</v>
      </c>
      <c r="CD31" s="21" t="s">
        <v>9</v>
      </c>
      <c r="CE31" s="106" t="s">
        <v>21</v>
      </c>
      <c r="CF31" s="107"/>
      <c r="CH31" s="20" t="s">
        <v>6</v>
      </c>
      <c r="CI31" s="20" t="s">
        <v>7</v>
      </c>
      <c r="CJ31" s="20" t="s">
        <v>8</v>
      </c>
      <c r="CK31" s="21" t="s">
        <v>9</v>
      </c>
      <c r="CL31" s="106" t="s">
        <v>21</v>
      </c>
      <c r="CM31" s="107"/>
      <c r="CO31" s="20" t="s">
        <v>204</v>
      </c>
      <c r="CP31" s="20" t="s">
        <v>205</v>
      </c>
      <c r="CQ31" s="20" t="s">
        <v>206</v>
      </c>
      <c r="CR31" s="21" t="s">
        <v>207</v>
      </c>
      <c r="CS31" s="106" t="s">
        <v>208</v>
      </c>
      <c r="CT31" s="107"/>
      <c r="CV31" s="52" t="s">
        <v>6</v>
      </c>
      <c r="CW31" s="52" t="s">
        <v>7</v>
      </c>
      <c r="CX31" s="52" t="s">
        <v>8</v>
      </c>
      <c r="CY31" s="53" t="s">
        <v>9</v>
      </c>
      <c r="CZ31" s="98" t="s">
        <v>21</v>
      </c>
      <c r="DA31" s="97"/>
      <c r="DC31" s="20" t="s">
        <v>6</v>
      </c>
      <c r="DD31" s="20" t="s">
        <v>7</v>
      </c>
      <c r="DE31" s="20" t="s">
        <v>8</v>
      </c>
      <c r="DF31" s="21" t="s">
        <v>9</v>
      </c>
      <c r="DG31" s="106" t="s">
        <v>21</v>
      </c>
      <c r="DH31" s="107"/>
      <c r="DJ31" s="68" t="s">
        <v>6</v>
      </c>
      <c r="DK31" s="68" t="s">
        <v>7</v>
      </c>
      <c r="DL31" s="69" t="s">
        <v>268</v>
      </c>
      <c r="DM31" s="69" t="s">
        <v>269</v>
      </c>
      <c r="DN31" s="69" t="s">
        <v>270</v>
      </c>
      <c r="DO31" s="69" t="s">
        <v>273</v>
      </c>
      <c r="DP31" s="69" t="s">
        <v>271</v>
      </c>
      <c r="DQ31" s="69" t="s">
        <v>272</v>
      </c>
      <c r="DS31" s="92" t="s">
        <v>291</v>
      </c>
      <c r="DT31" s="92" t="s">
        <v>292</v>
      </c>
    </row>
    <row r="32" spans="1:124" ht="17" thickBot="1" x14ac:dyDescent="0.25">
      <c r="A32" s="167" t="s">
        <v>94</v>
      </c>
      <c r="B32" s="9" t="s">
        <v>118</v>
      </c>
      <c r="C32" s="10" t="s">
        <v>96</v>
      </c>
      <c r="D32" s="11">
        <v>3210000</v>
      </c>
      <c r="E32" s="12">
        <f>(D32*19)/100</f>
        <v>609900</v>
      </c>
      <c r="F32" s="99">
        <f t="shared" ref="F32:F35" si="76">D32+E32</f>
        <v>3819900</v>
      </c>
      <c r="G32" s="100"/>
      <c r="I32" s="9" t="s">
        <v>118</v>
      </c>
      <c r="J32" s="10" t="s">
        <v>96</v>
      </c>
      <c r="K32" s="11">
        <v>2662660</v>
      </c>
      <c r="L32" s="12">
        <v>0</v>
      </c>
      <c r="M32" s="99">
        <f t="shared" ref="M32:M35" si="77">K32+L32</f>
        <v>2662660</v>
      </c>
      <c r="N32" s="100"/>
      <c r="P32" s="9" t="s">
        <v>118</v>
      </c>
      <c r="Q32" s="10" t="s">
        <v>96</v>
      </c>
      <c r="R32" s="11">
        <v>2650000</v>
      </c>
      <c r="S32" s="12">
        <v>0</v>
      </c>
      <c r="T32" s="155">
        <f>+R32+S32</f>
        <v>2650000</v>
      </c>
      <c r="U32" s="156"/>
      <c r="W32" s="9" t="s">
        <v>118</v>
      </c>
      <c r="X32" s="10" t="s">
        <v>96</v>
      </c>
      <c r="Y32" s="11">
        <v>1900000</v>
      </c>
      <c r="Z32" s="12">
        <v>0</v>
      </c>
      <c r="AA32" s="114">
        <f t="shared" ref="AA32:AA35" si="78">Y32+Z32</f>
        <v>1900000</v>
      </c>
      <c r="AB32" s="115"/>
      <c r="AD32" s="9" t="s">
        <v>118</v>
      </c>
      <c r="AE32" s="10" t="s">
        <v>96</v>
      </c>
      <c r="AF32" s="11">
        <v>1730400</v>
      </c>
      <c r="AG32" s="12">
        <v>0</v>
      </c>
      <c r="AH32" s="99">
        <f t="shared" ref="AH32:AH35" si="79">AF32+AG32</f>
        <v>1730400</v>
      </c>
      <c r="AI32" s="100"/>
      <c r="AK32" s="9" t="s">
        <v>118</v>
      </c>
      <c r="AL32" s="10" t="s">
        <v>96</v>
      </c>
      <c r="AM32" s="11">
        <v>770700000</v>
      </c>
      <c r="AN32" s="12">
        <v>0</v>
      </c>
      <c r="AO32" s="114">
        <f>+AM32/700</f>
        <v>1101000</v>
      </c>
      <c r="AP32" s="115"/>
      <c r="AR32" s="9" t="s">
        <v>118</v>
      </c>
      <c r="AS32" s="10" t="s">
        <v>96</v>
      </c>
      <c r="AT32" s="11">
        <v>1683425.4854056835</v>
      </c>
      <c r="AU32" s="12">
        <v>0</v>
      </c>
      <c r="AV32" s="114">
        <f t="shared" ref="AV32:AV35" si="80">AT32+AU32</f>
        <v>1683425.4854056835</v>
      </c>
      <c r="AW32" s="115"/>
      <c r="AY32" s="54" t="s">
        <v>118</v>
      </c>
      <c r="AZ32" s="55" t="s">
        <v>96</v>
      </c>
      <c r="BA32" s="56">
        <v>3150339</v>
      </c>
      <c r="BB32" s="57">
        <v>0</v>
      </c>
      <c r="BC32" s="93">
        <f t="shared" ref="BC32:BC35" si="81">BA32+BB32</f>
        <v>3150339</v>
      </c>
      <c r="BD32" s="94"/>
      <c r="BF32" s="34" t="s">
        <v>118</v>
      </c>
      <c r="BG32" s="35" t="s">
        <v>96</v>
      </c>
      <c r="BH32" s="36">
        <v>6790000</v>
      </c>
      <c r="BI32" s="37">
        <v>0</v>
      </c>
      <c r="BJ32" s="142">
        <f t="shared" ref="BJ32:BJ35" si="82">BH32+BI32</f>
        <v>6790000</v>
      </c>
      <c r="BK32" s="143"/>
      <c r="BM32" s="54" t="s">
        <v>118</v>
      </c>
      <c r="BN32" s="55" t="s">
        <v>96</v>
      </c>
      <c r="BO32" s="56">
        <v>3264526.7483230061</v>
      </c>
      <c r="BP32" s="57">
        <v>0</v>
      </c>
      <c r="BQ32" s="93">
        <f t="shared" ref="BQ32:BQ35" si="83">BO32+BP32</f>
        <v>3264526.7483230061</v>
      </c>
      <c r="BR32" s="94"/>
      <c r="BT32" s="9" t="s">
        <v>118</v>
      </c>
      <c r="BU32" s="10" t="s">
        <v>190</v>
      </c>
      <c r="BV32" s="11">
        <v>484985000</v>
      </c>
      <c r="BW32" s="12">
        <v>0</v>
      </c>
      <c r="BX32" s="114">
        <f>+BV32/175</f>
        <v>2771342.8571428573</v>
      </c>
      <c r="BY32" s="115"/>
      <c r="CA32" s="9" t="s">
        <v>118</v>
      </c>
      <c r="CB32" s="10" t="s">
        <v>96</v>
      </c>
      <c r="CC32" s="11">
        <v>1800000</v>
      </c>
      <c r="CD32" s="12">
        <f>CC32*0.19</f>
        <v>342000</v>
      </c>
      <c r="CE32" s="99">
        <f t="shared" ref="CE32:CE35" si="84">CC32+CD32</f>
        <v>2142000</v>
      </c>
      <c r="CF32" s="100"/>
      <c r="CH32" s="9" t="s">
        <v>118</v>
      </c>
      <c r="CI32" s="10" t="s">
        <v>96</v>
      </c>
      <c r="CJ32" s="11">
        <v>3000000</v>
      </c>
      <c r="CK32" s="12">
        <v>0</v>
      </c>
      <c r="CL32" s="99">
        <f>CJ32+CK32</f>
        <v>3000000</v>
      </c>
      <c r="CM32" s="100"/>
      <c r="CO32" s="9" t="s">
        <v>233</v>
      </c>
      <c r="CP32" s="10" t="s">
        <v>210</v>
      </c>
      <c r="CQ32" s="11">
        <v>5200000</v>
      </c>
      <c r="CR32" s="12" t="s">
        <v>211</v>
      </c>
      <c r="CS32" s="99">
        <f>+CQ32</f>
        <v>5200000</v>
      </c>
      <c r="CT32" s="100"/>
      <c r="CV32" s="54" t="s">
        <v>118</v>
      </c>
      <c r="CW32" s="55" t="s">
        <v>96</v>
      </c>
      <c r="CX32" s="56">
        <v>3000000</v>
      </c>
      <c r="CY32" s="57">
        <v>0</v>
      </c>
      <c r="CZ32" s="93">
        <f t="shared" ref="CZ32:CZ35" si="85">CX32+CY32</f>
        <v>3000000</v>
      </c>
      <c r="DA32" s="94"/>
      <c r="DC32" s="9" t="s">
        <v>118</v>
      </c>
      <c r="DD32" s="10" t="s">
        <v>96</v>
      </c>
      <c r="DE32" s="11">
        <f>1165333.33333333*5/3</f>
        <v>1942222.2222222167</v>
      </c>
      <c r="DF32" s="12">
        <f>DE32*0.19</f>
        <v>369022.22222222114</v>
      </c>
      <c r="DG32" s="99">
        <f t="shared" ref="DG32:DG35" si="86">DE32+DF32</f>
        <v>2311244.444444438</v>
      </c>
      <c r="DH32" s="100"/>
      <c r="DJ32" s="70" t="s">
        <v>118</v>
      </c>
      <c r="DK32" s="71" t="s">
        <v>96</v>
      </c>
      <c r="DL32" s="72">
        <f>+MAX(F32,M32,T32,AA32,AH32,AO32,AV32,BC32,BJ32,BQ32,BX32,CE32,CL32,CS32,CZ32,DG32)</f>
        <v>6790000</v>
      </c>
      <c r="DM32" s="72">
        <f>+MIN(F32,M32,T32,AA32,AH32,AO32,AV32,BC32,BJ32,BQ32,BX32,CE32,CL32,CS32,CZ32,DG32)</f>
        <v>1101000</v>
      </c>
      <c r="DN32" s="72">
        <f>+AVERAGE(F32,M32,T32,AA32,AH32,AO32,AV32,BC32,BJ32,BQ32,BX32,CE32,CL32,CS32,CZ32,DG32)</f>
        <v>2948552.4084572489</v>
      </c>
      <c r="DO32" s="72">
        <f>+TRIMMEAN((F32,M32,T32,AA32,AH32,AO32,AV32,BC32,BJ32,BQ32,BX32,CE32,CL32,CS32,CZ32,DG32),(2/16))</f>
        <v>2806131.3239511414</v>
      </c>
      <c r="DP32" s="72">
        <f>+MEDIAN(F32,M32,T32,AA32,AH32,AO32,AV32,BC32,BJ32,BQ32,BX32,CE32,CL32,CS32,CZ32,DG32)</f>
        <v>2717001.4285714286</v>
      </c>
      <c r="DQ32" s="72">
        <f>IFERROR(MODE(F32,M32,T32,AA32,AH32,AO32,AV32,BC32,BJ32,BQ32,BX32,CE32,CL32,CS32,CZ32,DG32),"N/A")</f>
        <v>3000000</v>
      </c>
      <c r="DR32" s="88">
        <f>+STDEV(F32,M32,T32,AA32,AH32,AO32,AV32,BC32,BJ32,BQ32,BX32,CE32,CL32,CS32,CZ32,DG32)/DN32</f>
        <v>0.47631807468596321</v>
      </c>
      <c r="DS32" t="s">
        <v>176</v>
      </c>
      <c r="DT32" t="s">
        <v>165</v>
      </c>
    </row>
    <row r="33" spans="1:124" ht="17" thickBot="1" x14ac:dyDescent="0.25">
      <c r="A33" s="168"/>
      <c r="B33" s="9" t="s">
        <v>119</v>
      </c>
      <c r="C33" s="13" t="s">
        <v>98</v>
      </c>
      <c r="D33" s="11">
        <v>2252000</v>
      </c>
      <c r="E33" s="12">
        <f t="shared" ref="E33:E35" si="87">(D33*19)/100</f>
        <v>427880</v>
      </c>
      <c r="F33" s="99">
        <f t="shared" si="76"/>
        <v>2679880</v>
      </c>
      <c r="G33" s="100"/>
      <c r="I33" s="9" t="s">
        <v>119</v>
      </c>
      <c r="J33" s="13" t="s">
        <v>98</v>
      </c>
      <c r="K33" s="11">
        <v>2641358</v>
      </c>
      <c r="L33" s="12">
        <v>0</v>
      </c>
      <c r="M33" s="99">
        <f t="shared" si="77"/>
        <v>2641358</v>
      </c>
      <c r="N33" s="100"/>
      <c r="P33" s="9" t="s">
        <v>119</v>
      </c>
      <c r="Q33" s="13" t="s">
        <v>98</v>
      </c>
      <c r="R33" s="11">
        <v>2590000</v>
      </c>
      <c r="S33" s="12">
        <v>0</v>
      </c>
      <c r="T33" s="155">
        <f>+R33+S33</f>
        <v>2590000</v>
      </c>
      <c r="U33" s="156"/>
      <c r="W33" s="9" t="s">
        <v>119</v>
      </c>
      <c r="X33" s="13" t="s">
        <v>98</v>
      </c>
      <c r="Y33" s="11">
        <v>1085000</v>
      </c>
      <c r="Z33" s="12">
        <v>0</v>
      </c>
      <c r="AA33" s="114">
        <f t="shared" si="78"/>
        <v>1085000</v>
      </c>
      <c r="AB33" s="115"/>
      <c r="AD33" s="9" t="s">
        <v>119</v>
      </c>
      <c r="AE33" s="13" t="s">
        <v>98</v>
      </c>
      <c r="AF33" s="11">
        <v>1648600</v>
      </c>
      <c r="AG33" s="12">
        <v>0</v>
      </c>
      <c r="AH33" s="99">
        <f t="shared" si="79"/>
        <v>1648600</v>
      </c>
      <c r="AI33" s="100"/>
      <c r="AK33" s="9" t="s">
        <v>119</v>
      </c>
      <c r="AL33" s="13" t="s">
        <v>98</v>
      </c>
      <c r="AM33" s="11">
        <v>1397200000</v>
      </c>
      <c r="AN33" s="12">
        <v>0</v>
      </c>
      <c r="AO33" s="114">
        <f>+AM33/1400</f>
        <v>998000</v>
      </c>
      <c r="AP33" s="115"/>
      <c r="AR33" s="9" t="s">
        <v>119</v>
      </c>
      <c r="AS33" s="13" t="s">
        <v>98</v>
      </c>
      <c r="AT33" s="11">
        <v>1650417.1425545916</v>
      </c>
      <c r="AU33" s="12">
        <v>0</v>
      </c>
      <c r="AV33" s="114">
        <f t="shared" si="80"/>
        <v>1650417.1425545916</v>
      </c>
      <c r="AW33" s="115"/>
      <c r="AY33" s="54" t="s">
        <v>119</v>
      </c>
      <c r="AZ33" s="58" t="s">
        <v>98</v>
      </c>
      <c r="BA33" s="56">
        <v>3085298</v>
      </c>
      <c r="BB33" s="57">
        <v>0</v>
      </c>
      <c r="BC33" s="93">
        <f t="shared" si="81"/>
        <v>3085298</v>
      </c>
      <c r="BD33" s="94"/>
      <c r="BF33" s="34" t="s">
        <v>119</v>
      </c>
      <c r="BG33" s="38" t="s">
        <v>98</v>
      </c>
      <c r="BH33" s="36">
        <v>5800000</v>
      </c>
      <c r="BI33" s="37">
        <v>0</v>
      </c>
      <c r="BJ33" s="142">
        <f t="shared" si="82"/>
        <v>5800000</v>
      </c>
      <c r="BK33" s="143"/>
      <c r="BM33" s="54" t="s">
        <v>119</v>
      </c>
      <c r="BN33" s="58" t="s">
        <v>98</v>
      </c>
      <c r="BO33" s="56">
        <v>3197101.7709607757</v>
      </c>
      <c r="BP33" s="57">
        <v>0</v>
      </c>
      <c r="BQ33" s="93">
        <f t="shared" si="83"/>
        <v>3197101.7709607757</v>
      </c>
      <c r="BR33" s="94"/>
      <c r="BT33" s="9" t="s">
        <v>119</v>
      </c>
      <c r="BU33" s="13" t="s">
        <v>98</v>
      </c>
      <c r="BV33" s="11">
        <v>0</v>
      </c>
      <c r="BW33" s="12">
        <v>0</v>
      </c>
      <c r="BX33" s="151">
        <f t="shared" ref="BX33:BX35" si="88">BV33+BW33</f>
        <v>0</v>
      </c>
      <c r="BY33" s="152"/>
      <c r="CA33" s="9" t="s">
        <v>119</v>
      </c>
      <c r="CB33" s="13" t="s">
        <v>98</v>
      </c>
      <c r="CC33" s="11">
        <v>1700000</v>
      </c>
      <c r="CD33" s="12">
        <f t="shared" ref="CD33:CD35" si="89">CC33*0.19</f>
        <v>323000</v>
      </c>
      <c r="CE33" s="99">
        <f t="shared" si="84"/>
        <v>2023000</v>
      </c>
      <c r="CF33" s="100"/>
      <c r="CH33" s="9" t="s">
        <v>119</v>
      </c>
      <c r="CI33" s="13" t="s">
        <v>98</v>
      </c>
      <c r="CJ33" s="11">
        <v>2800000</v>
      </c>
      <c r="CK33" s="12">
        <v>0</v>
      </c>
      <c r="CL33" s="99">
        <f>CJ33+CK33</f>
        <v>2800000</v>
      </c>
      <c r="CM33" s="100"/>
      <c r="CO33" s="9" t="s">
        <v>234</v>
      </c>
      <c r="CP33" s="13" t="s">
        <v>213</v>
      </c>
      <c r="CQ33" s="11">
        <v>4400000</v>
      </c>
      <c r="CR33" s="12" t="s">
        <v>211</v>
      </c>
      <c r="CS33" s="99">
        <v>4400000</v>
      </c>
      <c r="CT33" s="100"/>
      <c r="CV33" s="54" t="s">
        <v>119</v>
      </c>
      <c r="CW33" s="58" t="s">
        <v>98</v>
      </c>
      <c r="CX33" s="56">
        <v>3000000</v>
      </c>
      <c r="CY33" s="57">
        <v>0</v>
      </c>
      <c r="CZ33" s="93">
        <f t="shared" si="85"/>
        <v>3000000</v>
      </c>
      <c r="DA33" s="94"/>
      <c r="DC33" s="9" t="s">
        <v>119</v>
      </c>
      <c r="DD33" s="13" t="s">
        <v>98</v>
      </c>
      <c r="DE33" s="11">
        <f>526333.333333333*5/3</f>
        <v>877222.22222222167</v>
      </c>
      <c r="DF33" s="12">
        <f>DE33*0.19</f>
        <v>166672.22222222213</v>
      </c>
      <c r="DG33" s="99">
        <f t="shared" si="86"/>
        <v>1043894.4444444438</v>
      </c>
      <c r="DH33" s="100"/>
      <c r="DJ33" s="70" t="s">
        <v>119</v>
      </c>
      <c r="DK33" s="71" t="s">
        <v>98</v>
      </c>
      <c r="DL33" s="72">
        <f>+MAX(F33,M33,T33,AA33,AH33,AO33,AV33,BC33,BJ33,BQ33,CE33,CL33,CS33,CZ33,DG33)</f>
        <v>5800000</v>
      </c>
      <c r="DM33" s="72">
        <f>+MIN(F33,M33,T33,AA33,AH33,AO33,AV33,BC33,BJ33,BQ33,CE33,CL33,CS33,CZ33,DG33)</f>
        <v>998000</v>
      </c>
      <c r="DN33" s="72">
        <f>+AVERAGE(F33,M33,T33,AA33,AH33,AO33,AV33,BC33,BJ33,BQ33,CE33,CL33,CS33,CZ33,DG33)</f>
        <v>2576169.9571973206</v>
      </c>
      <c r="DO33" s="72">
        <f>+TRIMMEAN((F33,M33,T33,AA33,AH33,AO33,AV33,BC33,BJ33,BQ33,CE33,CL33,CS33,CZ33,DG33),(2/15))</f>
        <v>2449580.7198430626</v>
      </c>
      <c r="DP33" s="72">
        <f>+MEDIAN(F33,M33,T33,AA33,AH33,AO33,AV33,BC33,BJ33,BQ33,CE33,CL33,CS33,CZ33,DG33)</f>
        <v>2641358</v>
      </c>
      <c r="DQ33" s="86" t="str">
        <f>IFERROR(MODE(F33,M33,T33,AA33,AH33,AO33,AV33,BC33,BJ33,BQ33,CE33,CL33,CS33,CZ33,DG33),"N/A")</f>
        <v>N/A</v>
      </c>
      <c r="DR33" s="88">
        <f>+STDEV(F33,M33,T33,AA33,AH33,AO33,AV33,BC33,BJ33,BQ33,CE33,CL33,CS33,CZ33,DG33)/DN33</f>
        <v>0.5049940405874761</v>
      </c>
      <c r="DS33" t="s">
        <v>176</v>
      </c>
      <c r="DT33" t="s">
        <v>165</v>
      </c>
    </row>
    <row r="34" spans="1:124" ht="17" thickBot="1" x14ac:dyDescent="0.25">
      <c r="A34" s="168"/>
      <c r="B34" s="9" t="s">
        <v>120</v>
      </c>
      <c r="C34" s="13" t="s">
        <v>100</v>
      </c>
      <c r="D34" s="11">
        <v>1916000</v>
      </c>
      <c r="E34" s="12">
        <f t="shared" si="87"/>
        <v>364040</v>
      </c>
      <c r="F34" s="99">
        <f t="shared" si="76"/>
        <v>2280040</v>
      </c>
      <c r="G34" s="100"/>
      <c r="I34" s="9" t="s">
        <v>120</v>
      </c>
      <c r="J34" s="13" t="s">
        <v>100</v>
      </c>
      <c r="K34" s="11">
        <v>2633370</v>
      </c>
      <c r="L34" s="12">
        <v>0</v>
      </c>
      <c r="M34" s="99">
        <f t="shared" si="77"/>
        <v>2633370</v>
      </c>
      <c r="N34" s="100"/>
      <c r="P34" s="9" t="s">
        <v>120</v>
      </c>
      <c r="Q34" s="13" t="s">
        <v>100</v>
      </c>
      <c r="R34" s="11">
        <v>2470000</v>
      </c>
      <c r="S34" s="12">
        <v>0</v>
      </c>
      <c r="T34" s="155">
        <f>+R34+S34</f>
        <v>2470000</v>
      </c>
      <c r="U34" s="156"/>
      <c r="W34" s="9" t="s">
        <v>120</v>
      </c>
      <c r="X34" s="13" t="s">
        <v>100</v>
      </c>
      <c r="Y34" s="11">
        <v>1714750</v>
      </c>
      <c r="Z34" s="12">
        <v>0</v>
      </c>
      <c r="AA34" s="114">
        <f t="shared" si="78"/>
        <v>1714750</v>
      </c>
      <c r="AB34" s="115"/>
      <c r="AD34" s="9" t="s">
        <v>120</v>
      </c>
      <c r="AE34" s="13" t="s">
        <v>100</v>
      </c>
      <c r="AF34" s="11">
        <v>1566900</v>
      </c>
      <c r="AG34" s="12">
        <v>0</v>
      </c>
      <c r="AH34" s="99">
        <f t="shared" si="79"/>
        <v>1566900</v>
      </c>
      <c r="AI34" s="100"/>
      <c r="AK34" s="9" t="s">
        <v>120</v>
      </c>
      <c r="AL34" s="13" t="s">
        <v>100</v>
      </c>
      <c r="AM34" s="11">
        <v>1449000000</v>
      </c>
      <c r="AN34" s="12">
        <v>0</v>
      </c>
      <c r="AO34" s="114">
        <f>+AM34/2000</f>
        <v>724500</v>
      </c>
      <c r="AP34" s="115"/>
      <c r="AR34" s="9" t="s">
        <v>120</v>
      </c>
      <c r="AS34" s="13" t="s">
        <v>100</v>
      </c>
      <c r="AT34" s="11">
        <v>1634393.675151149</v>
      </c>
      <c r="AU34" s="12">
        <v>0</v>
      </c>
      <c r="AV34" s="114">
        <f t="shared" si="80"/>
        <v>1634393.675151149</v>
      </c>
      <c r="AW34" s="115"/>
      <c r="AY34" s="54" t="s">
        <v>120</v>
      </c>
      <c r="AZ34" s="58" t="s">
        <v>100</v>
      </c>
      <c r="BA34" s="56">
        <v>3012055</v>
      </c>
      <c r="BB34" s="57">
        <v>0</v>
      </c>
      <c r="BC34" s="93">
        <f t="shared" si="81"/>
        <v>3012055</v>
      </c>
      <c r="BD34" s="94"/>
      <c r="BF34" s="34" t="s">
        <v>120</v>
      </c>
      <c r="BG34" s="38" t="s">
        <v>100</v>
      </c>
      <c r="BH34" s="36">
        <v>5800000</v>
      </c>
      <c r="BI34" s="37">
        <v>0</v>
      </c>
      <c r="BJ34" s="142">
        <f t="shared" si="82"/>
        <v>5800000</v>
      </c>
      <c r="BK34" s="143"/>
      <c r="BM34" s="54" t="s">
        <v>120</v>
      </c>
      <c r="BN34" s="58" t="s">
        <v>100</v>
      </c>
      <c r="BO34" s="56">
        <v>3121258.6131376708</v>
      </c>
      <c r="BP34" s="57">
        <v>0</v>
      </c>
      <c r="BQ34" s="93">
        <f t="shared" si="83"/>
        <v>3121258.6131376708</v>
      </c>
      <c r="BR34" s="94"/>
      <c r="BT34" s="9" t="s">
        <v>120</v>
      </c>
      <c r="BU34" s="13" t="s">
        <v>100</v>
      </c>
      <c r="BV34" s="11">
        <v>0</v>
      </c>
      <c r="BW34" s="12">
        <v>0</v>
      </c>
      <c r="BX34" s="151">
        <f t="shared" si="88"/>
        <v>0</v>
      </c>
      <c r="BY34" s="152"/>
      <c r="CA34" s="9" t="s">
        <v>120</v>
      </c>
      <c r="CB34" s="13" t="s">
        <v>100</v>
      </c>
      <c r="CC34" s="11">
        <v>1600000</v>
      </c>
      <c r="CD34" s="12">
        <f t="shared" si="89"/>
        <v>304000</v>
      </c>
      <c r="CE34" s="99">
        <f t="shared" si="84"/>
        <v>1904000</v>
      </c>
      <c r="CF34" s="100"/>
      <c r="CH34" s="9" t="s">
        <v>120</v>
      </c>
      <c r="CI34" s="13" t="s">
        <v>100</v>
      </c>
      <c r="CJ34" s="11">
        <v>2720000</v>
      </c>
      <c r="CK34" s="12">
        <v>0</v>
      </c>
      <c r="CL34" s="99">
        <f>CJ34+CK34</f>
        <v>2720000</v>
      </c>
      <c r="CM34" s="100"/>
      <c r="CO34" s="9" t="s">
        <v>235</v>
      </c>
      <c r="CP34" s="13" t="s">
        <v>215</v>
      </c>
      <c r="CQ34" s="11">
        <v>4000000</v>
      </c>
      <c r="CR34" s="12" t="s">
        <v>211</v>
      </c>
      <c r="CS34" s="99">
        <v>4000000</v>
      </c>
      <c r="CT34" s="100"/>
      <c r="CV34" s="54" t="s">
        <v>120</v>
      </c>
      <c r="CW34" s="58" t="s">
        <v>100</v>
      </c>
      <c r="CX34" s="56">
        <v>3000000</v>
      </c>
      <c r="CY34" s="57">
        <v>0</v>
      </c>
      <c r="CZ34" s="93">
        <f t="shared" si="85"/>
        <v>3000000</v>
      </c>
      <c r="DA34" s="94"/>
      <c r="DC34" s="9" t="s">
        <v>120</v>
      </c>
      <c r="DD34" s="13" t="s">
        <v>100</v>
      </c>
      <c r="DE34" s="11">
        <f>DE33</f>
        <v>877222.22222222167</v>
      </c>
      <c r="DF34" s="12">
        <f>DE34*0.19</f>
        <v>166672.22222222213</v>
      </c>
      <c r="DG34" s="99">
        <f t="shared" si="86"/>
        <v>1043894.4444444438</v>
      </c>
      <c r="DH34" s="100"/>
      <c r="DJ34" s="70" t="s">
        <v>120</v>
      </c>
      <c r="DK34" s="71" t="s">
        <v>100</v>
      </c>
      <c r="DL34" s="72">
        <f t="shared" ref="DL34:DL35" si="90">+MAX(F34,M34,T34,AA34,AH34,AO34,AV34,BC34,BJ34,BQ34,CE34,CL34,CS34,CZ34,DG34)</f>
        <v>5800000</v>
      </c>
      <c r="DM34" s="72">
        <f t="shared" ref="DM34:DM35" si="91">+MIN(F34,M34,T34,AA34,AH34,AO34,AV34,BC34,BJ34,BQ34,CE34,CL34,CS34,CZ34,DG34)</f>
        <v>724500</v>
      </c>
      <c r="DN34" s="72">
        <f t="shared" ref="DN34:DN35" si="92">+AVERAGE(F34,M34,T34,AA34,AH34,AO34,AV34,BC34,BJ34,BQ34,CE34,CL34,CS34,CZ34,DG34)</f>
        <v>2508344.1155155506</v>
      </c>
      <c r="DO34" s="72">
        <f>+TRIMMEAN((F34,M34,T34,AA34,AH34,AO34,AV34,BC34,BJ34,BQ34,CE34,CL34,CS34,CZ34,DG34),(2/15))</f>
        <v>2392358.5948256357</v>
      </c>
      <c r="DP34" s="72">
        <f t="shared" ref="DP34:DP35" si="93">+MEDIAN(F34,M34,T34,AA34,AH34,AO34,AV34,BC34,BJ34,BQ34,CE34,CL34,CS34,CZ34,DG34)</f>
        <v>2470000</v>
      </c>
      <c r="DQ34" s="86" t="str">
        <f t="shared" ref="DQ34:DQ35" si="94">IFERROR(MODE(F34,M34,T34,AA34,AH34,AO34,AV34,BC34,BJ34,BQ34,CE34,CL34,CS34,CZ34,DG34),"N/A")</f>
        <v>N/A</v>
      </c>
      <c r="DR34" s="88">
        <f>+STDEV(F34,M34,T34,AA34,AH34,AO34,AV34,BC34,BJ34,BQ34,CE34,CL34,CS34,CZ34,DG34)/DN34</f>
        <v>0.49995174427513311</v>
      </c>
      <c r="DS34" t="s">
        <v>176</v>
      </c>
      <c r="DT34" t="s">
        <v>165</v>
      </c>
    </row>
    <row r="35" spans="1:124" ht="17" customHeight="1" thickBot="1" x14ac:dyDescent="0.25">
      <c r="A35" s="169"/>
      <c r="B35" s="9" t="s">
        <v>121</v>
      </c>
      <c r="C35" s="14" t="s">
        <v>102</v>
      </c>
      <c r="D35" s="11">
        <v>1854000</v>
      </c>
      <c r="E35" s="12">
        <f t="shared" si="87"/>
        <v>352260</v>
      </c>
      <c r="F35" s="99">
        <f t="shared" si="76"/>
        <v>2206260</v>
      </c>
      <c r="G35" s="100"/>
      <c r="I35" s="9" t="s">
        <v>121</v>
      </c>
      <c r="J35" s="14" t="s">
        <v>102</v>
      </c>
      <c r="K35" s="11">
        <v>2582780</v>
      </c>
      <c r="L35" s="12">
        <v>0</v>
      </c>
      <c r="M35" s="99">
        <f t="shared" si="77"/>
        <v>2582780</v>
      </c>
      <c r="N35" s="100"/>
      <c r="P35" s="9" t="s">
        <v>121</v>
      </c>
      <c r="Q35" s="14" t="s">
        <v>102</v>
      </c>
      <c r="R35" s="11">
        <v>2400000</v>
      </c>
      <c r="S35" s="12">
        <v>0</v>
      </c>
      <c r="T35" s="155">
        <f>+R35+S35</f>
        <v>2400000</v>
      </c>
      <c r="U35" s="156"/>
      <c r="W35" s="9" t="s">
        <v>121</v>
      </c>
      <c r="X35" s="14" t="s">
        <v>102</v>
      </c>
      <c r="Y35" s="11">
        <v>1627012</v>
      </c>
      <c r="Z35" s="12">
        <v>0</v>
      </c>
      <c r="AA35" s="114">
        <f t="shared" si="78"/>
        <v>1627012</v>
      </c>
      <c r="AB35" s="115"/>
      <c r="AD35" s="9" t="s">
        <v>121</v>
      </c>
      <c r="AE35" s="14" t="s">
        <v>102</v>
      </c>
      <c r="AF35" s="11">
        <v>1534200</v>
      </c>
      <c r="AG35" s="12">
        <v>0</v>
      </c>
      <c r="AH35" s="99">
        <f t="shared" si="79"/>
        <v>1534200</v>
      </c>
      <c r="AI35" s="100"/>
      <c r="AK35" s="9" t="s">
        <v>121</v>
      </c>
      <c r="AL35" s="14" t="s">
        <v>102</v>
      </c>
      <c r="AM35" s="11">
        <v>1449000000</v>
      </c>
      <c r="AN35" s="12">
        <v>0</v>
      </c>
      <c r="AO35" s="114">
        <f>+AM35/2001</f>
        <v>724137.93103448278</v>
      </c>
      <c r="AP35" s="115"/>
      <c r="AR35" s="9" t="s">
        <v>121</v>
      </c>
      <c r="AS35" s="14" t="s">
        <v>102</v>
      </c>
      <c r="AT35" s="11">
        <v>1618678.3513516188</v>
      </c>
      <c r="AU35" s="12">
        <v>0</v>
      </c>
      <c r="AV35" s="114">
        <f t="shared" si="80"/>
        <v>1618678.3513516188</v>
      </c>
      <c r="AW35" s="115"/>
      <c r="AY35" s="54" t="s">
        <v>121</v>
      </c>
      <c r="AZ35" s="59" t="s">
        <v>102</v>
      </c>
      <c r="BA35" s="56">
        <v>2922406</v>
      </c>
      <c r="BB35" s="57">
        <v>0</v>
      </c>
      <c r="BC35" s="93">
        <f t="shared" si="81"/>
        <v>2922406</v>
      </c>
      <c r="BD35" s="94"/>
      <c r="BF35" s="34" t="s">
        <v>121</v>
      </c>
      <c r="BG35" s="39" t="s">
        <v>102</v>
      </c>
      <c r="BH35" s="36">
        <v>5700000</v>
      </c>
      <c r="BI35" s="37">
        <v>0</v>
      </c>
      <c r="BJ35" s="142">
        <f t="shared" si="82"/>
        <v>5700000</v>
      </c>
      <c r="BK35" s="143"/>
      <c r="BM35" s="54" t="s">
        <v>121</v>
      </c>
      <c r="BN35" s="59" t="s">
        <v>102</v>
      </c>
      <c r="BO35" s="56">
        <v>3028309.9398215194</v>
      </c>
      <c r="BP35" s="57">
        <v>0</v>
      </c>
      <c r="BQ35" s="93">
        <f t="shared" si="83"/>
        <v>3028309.9398215194</v>
      </c>
      <c r="BR35" s="94"/>
      <c r="BT35" s="9" t="s">
        <v>121</v>
      </c>
      <c r="BU35" s="14" t="s">
        <v>102</v>
      </c>
      <c r="BV35" s="11">
        <v>0</v>
      </c>
      <c r="BW35" s="12">
        <v>0</v>
      </c>
      <c r="BX35" s="151">
        <f t="shared" si="88"/>
        <v>0</v>
      </c>
      <c r="BY35" s="152"/>
      <c r="CA35" s="9" t="s">
        <v>121</v>
      </c>
      <c r="CB35" s="14" t="s">
        <v>102</v>
      </c>
      <c r="CC35" s="11">
        <v>1500000</v>
      </c>
      <c r="CD35" s="12">
        <f t="shared" si="89"/>
        <v>285000</v>
      </c>
      <c r="CE35" s="99">
        <f t="shared" si="84"/>
        <v>1785000</v>
      </c>
      <c r="CF35" s="100"/>
      <c r="CH35" s="9" t="s">
        <v>121</v>
      </c>
      <c r="CI35" s="14" t="s">
        <v>102</v>
      </c>
      <c r="CJ35" s="11">
        <v>2700000</v>
      </c>
      <c r="CK35" s="12">
        <v>0</v>
      </c>
      <c r="CL35" s="99">
        <f>CJ35+CK35</f>
        <v>2700000</v>
      </c>
      <c r="CM35" s="100"/>
      <c r="CO35" s="9" t="s">
        <v>236</v>
      </c>
      <c r="CP35" s="14" t="s">
        <v>217</v>
      </c>
      <c r="CQ35" s="11">
        <v>3800000</v>
      </c>
      <c r="CR35" s="12" t="s">
        <v>211</v>
      </c>
      <c r="CS35" s="99">
        <v>3800000</v>
      </c>
      <c r="CT35" s="100"/>
      <c r="CV35" s="54" t="s">
        <v>121</v>
      </c>
      <c r="CW35" s="59" t="s">
        <v>102</v>
      </c>
      <c r="CX35" s="56">
        <v>3000000</v>
      </c>
      <c r="CY35" s="57">
        <v>0</v>
      </c>
      <c r="CZ35" s="93">
        <f t="shared" si="85"/>
        <v>3000000</v>
      </c>
      <c r="DA35" s="94"/>
      <c r="DC35" s="9" t="s">
        <v>121</v>
      </c>
      <c r="DD35" s="14" t="s">
        <v>102</v>
      </c>
      <c r="DE35" s="11">
        <f>DE34</f>
        <v>877222.22222222167</v>
      </c>
      <c r="DF35" s="12">
        <f>DE35*0.19</f>
        <v>166672.22222222213</v>
      </c>
      <c r="DG35" s="99">
        <f t="shared" si="86"/>
        <v>1043894.4444444438</v>
      </c>
      <c r="DH35" s="100"/>
      <c r="DJ35" s="70" t="s">
        <v>121</v>
      </c>
      <c r="DK35" s="71" t="s">
        <v>102</v>
      </c>
      <c r="DL35" s="72">
        <f t="shared" si="90"/>
        <v>5700000</v>
      </c>
      <c r="DM35" s="72">
        <f t="shared" si="91"/>
        <v>724137.93103448278</v>
      </c>
      <c r="DN35" s="72">
        <f t="shared" si="92"/>
        <v>2444845.2444434706</v>
      </c>
      <c r="DO35" s="72">
        <f>+TRIMMEAN((F35,M35,T35,AA35,AH35,AO35,AV35,BC35,BJ35,BQ35,CE35,CL35,CS35,CZ35,DG35),(2/15))</f>
        <v>2326810.825816737</v>
      </c>
      <c r="DP35" s="72">
        <f t="shared" si="93"/>
        <v>2400000</v>
      </c>
      <c r="DQ35" s="86" t="str">
        <f t="shared" si="94"/>
        <v>N/A</v>
      </c>
      <c r="DR35" s="88">
        <f>+STDEV(F35,M35,T35,AA35,AH35,AO35,AV35,BC35,BJ35,BQ35,CE35,CL35,CS35,CZ35,DG35)/DN35</f>
        <v>0.50085207994768943</v>
      </c>
      <c r="DS35" t="s">
        <v>176</v>
      </c>
      <c r="DT35" t="s">
        <v>165</v>
      </c>
    </row>
    <row r="36" spans="1:124" ht="76" thickBot="1" x14ac:dyDescent="0.25">
      <c r="A36" s="1" t="s">
        <v>112</v>
      </c>
      <c r="B36" s="103" t="s">
        <v>113</v>
      </c>
      <c r="C36" s="104"/>
      <c r="D36" s="104"/>
      <c r="E36" s="105"/>
      <c r="F36" s="18" t="s">
        <v>3</v>
      </c>
      <c r="G36" s="19" t="s">
        <v>20</v>
      </c>
      <c r="I36" s="103" t="s">
        <v>113</v>
      </c>
      <c r="J36" s="104"/>
      <c r="K36" s="104"/>
      <c r="L36" s="105"/>
      <c r="M36" s="18" t="s">
        <v>3</v>
      </c>
      <c r="N36" s="19" t="s">
        <v>20</v>
      </c>
      <c r="P36" s="15" t="s">
        <v>113</v>
      </c>
      <c r="Q36" s="16"/>
      <c r="R36" s="16"/>
      <c r="S36" s="17"/>
      <c r="T36" s="18" t="s">
        <v>3</v>
      </c>
      <c r="U36" s="19" t="s">
        <v>20</v>
      </c>
      <c r="W36" s="103" t="s">
        <v>113</v>
      </c>
      <c r="X36" s="104"/>
      <c r="Y36" s="104"/>
      <c r="Z36" s="105"/>
      <c r="AA36" s="18" t="s">
        <v>3</v>
      </c>
      <c r="AB36" s="19" t="s">
        <v>20</v>
      </c>
      <c r="AD36" s="103" t="s">
        <v>113</v>
      </c>
      <c r="AE36" s="104"/>
      <c r="AF36" s="104"/>
      <c r="AG36" s="105"/>
      <c r="AH36" s="18" t="s">
        <v>3</v>
      </c>
      <c r="AI36" s="19" t="s">
        <v>20</v>
      </c>
      <c r="AK36" s="103" t="s">
        <v>113</v>
      </c>
      <c r="AL36" s="104"/>
      <c r="AM36" s="104"/>
      <c r="AN36" s="105"/>
      <c r="AO36" s="18" t="s">
        <v>3</v>
      </c>
      <c r="AP36" s="19" t="s">
        <v>20</v>
      </c>
      <c r="AR36" s="103" t="s">
        <v>113</v>
      </c>
      <c r="AS36" s="104"/>
      <c r="AT36" s="104"/>
      <c r="AU36" s="105"/>
      <c r="AV36" s="18" t="s">
        <v>3</v>
      </c>
      <c r="AW36" s="19" t="s">
        <v>20</v>
      </c>
      <c r="AY36" s="95" t="s">
        <v>113</v>
      </c>
      <c r="AZ36" s="96"/>
      <c r="BA36" s="96"/>
      <c r="BB36" s="97"/>
      <c r="BC36" s="60" t="s">
        <v>3</v>
      </c>
      <c r="BD36" s="61" t="s">
        <v>20</v>
      </c>
      <c r="BF36" s="144" t="s">
        <v>113</v>
      </c>
      <c r="BG36" s="145"/>
      <c r="BH36" s="145"/>
      <c r="BI36" s="146"/>
      <c r="BJ36" s="40" t="s">
        <v>3</v>
      </c>
      <c r="BK36" s="41" t="s">
        <v>20</v>
      </c>
      <c r="BM36" s="95" t="s">
        <v>113</v>
      </c>
      <c r="BN36" s="96"/>
      <c r="BO36" s="96"/>
      <c r="BP36" s="97"/>
      <c r="BQ36" s="60" t="s">
        <v>3</v>
      </c>
      <c r="BR36" s="61" t="s">
        <v>20</v>
      </c>
      <c r="BT36" s="103" t="s">
        <v>113</v>
      </c>
      <c r="BU36" s="104"/>
      <c r="BV36" s="104"/>
      <c r="BW36" s="105"/>
      <c r="BX36" s="18" t="s">
        <v>3</v>
      </c>
      <c r="BY36" s="19" t="s">
        <v>20</v>
      </c>
      <c r="CA36" s="103" t="s">
        <v>113</v>
      </c>
      <c r="CB36" s="104"/>
      <c r="CC36" s="104"/>
      <c r="CD36" s="105"/>
      <c r="CE36" s="18" t="s">
        <v>3</v>
      </c>
      <c r="CF36" s="19" t="s">
        <v>20</v>
      </c>
      <c r="CH36" s="103" t="s">
        <v>113</v>
      </c>
      <c r="CI36" s="104"/>
      <c r="CJ36" s="104"/>
      <c r="CK36" s="105"/>
      <c r="CL36" s="18" t="s">
        <v>3</v>
      </c>
      <c r="CM36" s="19" t="s">
        <v>20</v>
      </c>
      <c r="CO36" s="103" t="s">
        <v>228</v>
      </c>
      <c r="CP36" s="104"/>
      <c r="CQ36" s="104"/>
      <c r="CR36" s="105"/>
      <c r="CS36" s="18" t="s">
        <v>202</v>
      </c>
      <c r="CT36" s="19" t="s">
        <v>223</v>
      </c>
      <c r="CV36" s="95" t="s">
        <v>113</v>
      </c>
      <c r="CW36" s="96"/>
      <c r="CX36" s="96"/>
      <c r="CY36" s="97"/>
      <c r="CZ36" s="60" t="s">
        <v>3</v>
      </c>
      <c r="DA36" s="61" t="s">
        <v>20</v>
      </c>
      <c r="DC36" s="103" t="s">
        <v>113</v>
      </c>
      <c r="DD36" s="104"/>
      <c r="DE36" s="104"/>
      <c r="DF36" s="105"/>
      <c r="DG36" s="18" t="s">
        <v>3</v>
      </c>
      <c r="DH36" s="19" t="s">
        <v>20</v>
      </c>
    </row>
    <row r="37" spans="1:124" ht="46" thickBot="1" x14ac:dyDescent="0.25">
      <c r="A37" s="3" t="s">
        <v>5</v>
      </c>
      <c r="B37" s="20" t="s">
        <v>6</v>
      </c>
      <c r="C37" s="20" t="s">
        <v>7</v>
      </c>
      <c r="D37" s="20" t="s">
        <v>8</v>
      </c>
      <c r="E37" s="21" t="s">
        <v>9</v>
      </c>
      <c r="F37" s="106" t="s">
        <v>21</v>
      </c>
      <c r="G37" s="107"/>
      <c r="I37" s="20" t="s">
        <v>6</v>
      </c>
      <c r="J37" s="20" t="s">
        <v>7</v>
      </c>
      <c r="K37" s="20" t="s">
        <v>8</v>
      </c>
      <c r="L37" s="21" t="s">
        <v>9</v>
      </c>
      <c r="M37" s="106" t="s">
        <v>21</v>
      </c>
      <c r="N37" s="107"/>
      <c r="P37" s="20" t="s">
        <v>6</v>
      </c>
      <c r="Q37" s="20" t="s">
        <v>7</v>
      </c>
      <c r="R37" s="20" t="s">
        <v>8</v>
      </c>
      <c r="S37" s="21" t="s">
        <v>9</v>
      </c>
      <c r="T37" s="22" t="s">
        <v>21</v>
      </c>
      <c r="U37" s="23"/>
      <c r="W37" s="20" t="s">
        <v>6</v>
      </c>
      <c r="X37" s="20" t="s">
        <v>7</v>
      </c>
      <c r="Y37" s="20" t="s">
        <v>8</v>
      </c>
      <c r="Z37" s="21" t="s">
        <v>9</v>
      </c>
      <c r="AA37" s="106" t="s">
        <v>21</v>
      </c>
      <c r="AB37" s="107"/>
      <c r="AD37" s="20" t="s">
        <v>6</v>
      </c>
      <c r="AE37" s="20" t="s">
        <v>7</v>
      </c>
      <c r="AF37" s="20" t="s">
        <v>8</v>
      </c>
      <c r="AG37" s="21" t="s">
        <v>9</v>
      </c>
      <c r="AH37" s="106" t="s">
        <v>21</v>
      </c>
      <c r="AI37" s="107"/>
      <c r="AK37" s="20" t="s">
        <v>6</v>
      </c>
      <c r="AL37" s="20" t="s">
        <v>7</v>
      </c>
      <c r="AM37" s="20" t="s">
        <v>8</v>
      </c>
      <c r="AN37" s="21" t="s">
        <v>9</v>
      </c>
      <c r="AO37" s="106" t="s">
        <v>21</v>
      </c>
      <c r="AP37" s="107"/>
      <c r="AR37" s="20" t="s">
        <v>6</v>
      </c>
      <c r="AS37" s="20" t="s">
        <v>7</v>
      </c>
      <c r="AT37" s="20" t="s">
        <v>8</v>
      </c>
      <c r="AU37" s="21" t="s">
        <v>9</v>
      </c>
      <c r="AV37" s="106" t="s">
        <v>21</v>
      </c>
      <c r="AW37" s="107"/>
      <c r="AY37" s="52" t="s">
        <v>6</v>
      </c>
      <c r="AZ37" s="52" t="s">
        <v>7</v>
      </c>
      <c r="BA37" s="52" t="s">
        <v>8</v>
      </c>
      <c r="BB37" s="53" t="s">
        <v>9</v>
      </c>
      <c r="BC37" s="98" t="s">
        <v>21</v>
      </c>
      <c r="BD37" s="97"/>
      <c r="BF37" s="42" t="s">
        <v>6</v>
      </c>
      <c r="BG37" s="42" t="s">
        <v>7</v>
      </c>
      <c r="BH37" s="42" t="s">
        <v>8</v>
      </c>
      <c r="BI37" s="43" t="s">
        <v>9</v>
      </c>
      <c r="BJ37" s="147" t="s">
        <v>21</v>
      </c>
      <c r="BK37" s="148"/>
      <c r="BM37" s="52" t="s">
        <v>6</v>
      </c>
      <c r="BN37" s="52" t="s">
        <v>7</v>
      </c>
      <c r="BO37" s="52" t="s">
        <v>8</v>
      </c>
      <c r="BP37" s="53" t="s">
        <v>9</v>
      </c>
      <c r="BQ37" s="98" t="s">
        <v>21</v>
      </c>
      <c r="BR37" s="97"/>
      <c r="BT37" s="20" t="s">
        <v>6</v>
      </c>
      <c r="BU37" s="20" t="s">
        <v>7</v>
      </c>
      <c r="BV37" s="20" t="s">
        <v>8</v>
      </c>
      <c r="BW37" s="21" t="s">
        <v>9</v>
      </c>
      <c r="BX37" s="106" t="s">
        <v>21</v>
      </c>
      <c r="BY37" s="107"/>
      <c r="CA37" s="20" t="s">
        <v>6</v>
      </c>
      <c r="CB37" s="20" t="s">
        <v>7</v>
      </c>
      <c r="CC37" s="20" t="s">
        <v>8</v>
      </c>
      <c r="CD37" s="21" t="s">
        <v>9</v>
      </c>
      <c r="CE37" s="106" t="s">
        <v>21</v>
      </c>
      <c r="CF37" s="107"/>
      <c r="CH37" s="20" t="s">
        <v>6</v>
      </c>
      <c r="CI37" s="20" t="s">
        <v>7</v>
      </c>
      <c r="CJ37" s="20" t="s">
        <v>8</v>
      </c>
      <c r="CK37" s="21" t="s">
        <v>9</v>
      </c>
      <c r="CL37" s="106" t="s">
        <v>21</v>
      </c>
      <c r="CM37" s="107"/>
      <c r="CO37" s="20" t="s">
        <v>204</v>
      </c>
      <c r="CP37" s="20" t="s">
        <v>205</v>
      </c>
      <c r="CQ37" s="20" t="s">
        <v>206</v>
      </c>
      <c r="CR37" s="21" t="s">
        <v>207</v>
      </c>
      <c r="CS37" s="106" t="s">
        <v>208</v>
      </c>
      <c r="CT37" s="107"/>
      <c r="CV37" s="52" t="s">
        <v>6</v>
      </c>
      <c r="CW37" s="52" t="s">
        <v>7</v>
      </c>
      <c r="CX37" s="52" t="s">
        <v>8</v>
      </c>
      <c r="CY37" s="53" t="s">
        <v>9</v>
      </c>
      <c r="CZ37" s="98" t="s">
        <v>21</v>
      </c>
      <c r="DA37" s="97"/>
      <c r="DC37" s="20" t="s">
        <v>6</v>
      </c>
      <c r="DD37" s="20" t="s">
        <v>7</v>
      </c>
      <c r="DE37" s="20" t="s">
        <v>8</v>
      </c>
      <c r="DF37" s="21" t="s">
        <v>9</v>
      </c>
      <c r="DG37" s="106" t="s">
        <v>21</v>
      </c>
      <c r="DH37" s="107"/>
      <c r="DJ37" s="68" t="s">
        <v>6</v>
      </c>
      <c r="DK37" s="68" t="s">
        <v>7</v>
      </c>
      <c r="DL37" s="69" t="s">
        <v>268</v>
      </c>
      <c r="DM37" s="69" t="s">
        <v>269</v>
      </c>
      <c r="DN37" s="69" t="s">
        <v>270</v>
      </c>
      <c r="DO37" s="69" t="s">
        <v>273</v>
      </c>
      <c r="DP37" s="69" t="s">
        <v>271</v>
      </c>
      <c r="DQ37" s="69" t="s">
        <v>272</v>
      </c>
      <c r="DS37" s="92" t="s">
        <v>291</v>
      </c>
      <c r="DT37" s="92" t="s">
        <v>292</v>
      </c>
    </row>
    <row r="38" spans="1:124" ht="17" thickBot="1" x14ac:dyDescent="0.25">
      <c r="A38" s="167" t="s">
        <v>94</v>
      </c>
      <c r="B38" s="9" t="s">
        <v>122</v>
      </c>
      <c r="C38" s="10" t="s">
        <v>96</v>
      </c>
      <c r="D38" s="11">
        <v>3210000</v>
      </c>
      <c r="E38" s="12">
        <f>(D38*19)/100</f>
        <v>609900</v>
      </c>
      <c r="F38" s="99">
        <f>D38+E38</f>
        <v>3819900</v>
      </c>
      <c r="G38" s="100"/>
      <c r="I38" s="9" t="s">
        <v>122</v>
      </c>
      <c r="J38" s="10" t="s">
        <v>96</v>
      </c>
      <c r="K38" s="11">
        <v>2801118</v>
      </c>
      <c r="L38" s="12">
        <v>0</v>
      </c>
      <c r="M38" s="99">
        <f>K38+L38</f>
        <v>2801118</v>
      </c>
      <c r="N38" s="100"/>
      <c r="P38" s="9" t="s">
        <v>122</v>
      </c>
      <c r="Q38" s="10" t="s">
        <v>96</v>
      </c>
      <c r="R38" s="11">
        <v>2650000</v>
      </c>
      <c r="S38" s="12">
        <v>0</v>
      </c>
      <c r="T38" s="155">
        <f>+R38+S38</f>
        <v>2650000</v>
      </c>
      <c r="U38" s="156"/>
      <c r="W38" s="9" t="s">
        <v>122</v>
      </c>
      <c r="X38" s="10" t="s">
        <v>96</v>
      </c>
      <c r="Y38" s="11">
        <v>1900000</v>
      </c>
      <c r="Z38" s="12">
        <v>0</v>
      </c>
      <c r="AA38" s="114">
        <f>Y38+Z38</f>
        <v>1900000</v>
      </c>
      <c r="AB38" s="115"/>
      <c r="AD38" s="9" t="s">
        <v>122</v>
      </c>
      <c r="AE38" s="10" t="s">
        <v>96</v>
      </c>
      <c r="AF38" s="11">
        <v>1730400</v>
      </c>
      <c r="AG38" s="12">
        <v>0</v>
      </c>
      <c r="AH38" s="99">
        <f>AF38+AG38</f>
        <v>1730400</v>
      </c>
      <c r="AI38" s="100"/>
      <c r="AK38" s="9" t="s">
        <v>122</v>
      </c>
      <c r="AL38" s="10" t="s">
        <v>96</v>
      </c>
      <c r="AM38" s="11">
        <v>770700000</v>
      </c>
      <c r="AN38" s="12">
        <v>0</v>
      </c>
      <c r="AO38" s="114">
        <f>+AM38/700</f>
        <v>1101000</v>
      </c>
      <c r="AP38" s="115"/>
      <c r="AR38" s="9" t="s">
        <v>122</v>
      </c>
      <c r="AS38" s="10" t="s">
        <v>96</v>
      </c>
      <c r="AT38" s="11">
        <v>1700259.7402597403</v>
      </c>
      <c r="AU38" s="12">
        <v>0</v>
      </c>
      <c r="AV38" s="114">
        <f>AT38+AU38</f>
        <v>1700259.7402597403</v>
      </c>
      <c r="AW38" s="115"/>
      <c r="AY38" s="54" t="s">
        <v>122</v>
      </c>
      <c r="AZ38" s="55" t="s">
        <v>96</v>
      </c>
      <c r="BA38" s="56">
        <v>3035601</v>
      </c>
      <c r="BB38" s="57">
        <v>0</v>
      </c>
      <c r="BC38" s="93">
        <f t="shared" ref="BC38:BC41" si="95">BA38+BB38</f>
        <v>3035601</v>
      </c>
      <c r="BD38" s="94"/>
      <c r="BF38" s="34" t="s">
        <v>122</v>
      </c>
      <c r="BG38" s="35" t="s">
        <v>96</v>
      </c>
      <c r="BH38" s="36">
        <v>6790000</v>
      </c>
      <c r="BI38" s="37">
        <v>0</v>
      </c>
      <c r="BJ38" s="142">
        <f>BH38+BI38</f>
        <v>6790000</v>
      </c>
      <c r="BK38" s="143"/>
      <c r="BM38" s="54" t="s">
        <v>122</v>
      </c>
      <c r="BN38" s="55" t="s">
        <v>96</v>
      </c>
      <c r="BO38" s="56">
        <v>3145612.1208556504</v>
      </c>
      <c r="BP38" s="57">
        <v>0</v>
      </c>
      <c r="BQ38" s="93">
        <f t="shared" ref="BQ38:BQ41" si="96">BO38+BP38</f>
        <v>3145612.1208556504</v>
      </c>
      <c r="BR38" s="94"/>
      <c r="BT38" s="9" t="s">
        <v>122</v>
      </c>
      <c r="BU38" s="10" t="s">
        <v>191</v>
      </c>
      <c r="BV38" s="11">
        <v>122188000</v>
      </c>
      <c r="BW38" s="12">
        <v>0</v>
      </c>
      <c r="BX38" s="114">
        <f>+BV38/70</f>
        <v>1745542.857142857</v>
      </c>
      <c r="BY38" s="115"/>
      <c r="CA38" s="9" t="s">
        <v>122</v>
      </c>
      <c r="CB38" s="10" t="s">
        <v>96</v>
      </c>
      <c r="CC38" s="11">
        <v>1800000</v>
      </c>
      <c r="CD38" s="12">
        <f>CC38*0.19</f>
        <v>342000</v>
      </c>
      <c r="CE38" s="99">
        <f>CC38+CD38</f>
        <v>2142000</v>
      </c>
      <c r="CF38" s="100"/>
      <c r="CH38" s="9" t="s">
        <v>122</v>
      </c>
      <c r="CI38" s="10" t="s">
        <v>96</v>
      </c>
      <c r="CJ38" s="11">
        <v>3000000</v>
      </c>
      <c r="CK38" s="12">
        <v>0</v>
      </c>
      <c r="CL38" s="99">
        <f>CJ38+CK38</f>
        <v>3000000</v>
      </c>
      <c r="CM38" s="100"/>
      <c r="CO38" s="9" t="s">
        <v>237</v>
      </c>
      <c r="CP38" s="10" t="s">
        <v>210</v>
      </c>
      <c r="CQ38" s="11">
        <v>5200000</v>
      </c>
      <c r="CR38" s="12" t="s">
        <v>211</v>
      </c>
      <c r="CS38" s="99">
        <f>+CQ38</f>
        <v>5200000</v>
      </c>
      <c r="CT38" s="100"/>
      <c r="CV38" s="54" t="s">
        <v>122</v>
      </c>
      <c r="CW38" s="55" t="s">
        <v>96</v>
      </c>
      <c r="CX38" s="56">
        <v>3000000</v>
      </c>
      <c r="CY38" s="57">
        <v>0</v>
      </c>
      <c r="CZ38" s="93">
        <f t="shared" ref="CZ38:CZ41" si="97">CX38+CY38</f>
        <v>3000000</v>
      </c>
      <c r="DA38" s="94"/>
      <c r="DC38" s="9" t="s">
        <v>122</v>
      </c>
      <c r="DD38" s="10" t="s">
        <v>96</v>
      </c>
      <c r="DE38" s="11">
        <f>1165333.33333333*5/3</f>
        <v>1942222.2222222167</v>
      </c>
      <c r="DF38" s="12">
        <f>DE38*0.19</f>
        <v>369022.22222222114</v>
      </c>
      <c r="DG38" s="99">
        <f>DE38+DF38</f>
        <v>2311244.444444438</v>
      </c>
      <c r="DH38" s="100"/>
      <c r="DJ38" s="70" t="s">
        <v>122</v>
      </c>
      <c r="DK38" s="71" t="s">
        <v>96</v>
      </c>
      <c r="DL38" s="72">
        <f>+MAX(F38,M38,T38,AA38,AH38,AO38,AV38,BC38,BJ38,BQ38,BX38,CE38,CL38,CS38,CZ38,DG38)</f>
        <v>6790000</v>
      </c>
      <c r="DM38" s="72">
        <f>+MIN(F38,M38,T38,AA38,AH38,AO38,AV38,BC38,BJ38,BQ38,BX38,CE38,CL38,CS38,CZ38,DG38)</f>
        <v>1101000</v>
      </c>
      <c r="DN38" s="72">
        <f>+AVERAGE(F38,M38,T38,AA38,AH38,AO38,AV38,BC38,BJ38,BQ38,BX38,CE38,CL38,CS38,CZ38,DG38)</f>
        <v>2879542.3851689179</v>
      </c>
      <c r="DO38" s="72">
        <f>+TRIMMEAN((F38,M38,T38,AA38,AH38,AO38,AV38,BC38,BJ38,BQ38,BX38,CE38,CL38,CS38,CZ38,DG38),(2/16))</f>
        <v>2727262.7259073346</v>
      </c>
      <c r="DP38" s="72">
        <f>+MEDIAN(F38,M38,T38,AA38,AH38,AO38,AV38,BC38,BJ38,BQ38,BX38,CE38,CL38,CS38,CZ38,DG38)</f>
        <v>2725559</v>
      </c>
      <c r="DQ38" s="72">
        <f>IFERROR(MODE(F38,M38,T38,AA38,AH38,AO38,AV38,BC38,BJ38,BQ38,BX38,CE38,CL38,CS38,CZ38,DG38),"N/A")</f>
        <v>3000000</v>
      </c>
      <c r="DR38" s="88">
        <f>+STDEV(F38,M38,T38,AA38,AH38,AO38,AV38,BC38,BJ38,BQ38,BX38,CE38,CL38,CS38,CZ38,DG38)/DN38</f>
        <v>0.49706643832814318</v>
      </c>
      <c r="DS38" t="s">
        <v>176</v>
      </c>
      <c r="DT38" t="s">
        <v>165</v>
      </c>
    </row>
    <row r="39" spans="1:124" ht="17" thickBot="1" x14ac:dyDescent="0.25">
      <c r="A39" s="168"/>
      <c r="B39" s="9" t="s">
        <v>123</v>
      </c>
      <c r="C39" s="13" t="s">
        <v>98</v>
      </c>
      <c r="D39" s="11">
        <v>2252000</v>
      </c>
      <c r="E39" s="12">
        <f t="shared" ref="E39:E41" si="98">(D39*19)/100</f>
        <v>427880</v>
      </c>
      <c r="F39" s="99">
        <f t="shared" ref="F39:F41" si="99">D39+E39</f>
        <v>2679880</v>
      </c>
      <c r="G39" s="100"/>
      <c r="I39" s="9" t="s">
        <v>123</v>
      </c>
      <c r="J39" s="13" t="s">
        <v>98</v>
      </c>
      <c r="K39" s="11">
        <v>2778708</v>
      </c>
      <c r="L39" s="12">
        <v>0</v>
      </c>
      <c r="M39" s="99">
        <f t="shared" ref="M39:M41" si="100">K39+L39</f>
        <v>2778708</v>
      </c>
      <c r="N39" s="100"/>
      <c r="P39" s="9" t="s">
        <v>123</v>
      </c>
      <c r="Q39" s="13" t="s">
        <v>98</v>
      </c>
      <c r="R39" s="11">
        <v>2590000</v>
      </c>
      <c r="S39" s="12">
        <v>0</v>
      </c>
      <c r="T39" s="155">
        <f>+R39+S39</f>
        <v>2590000</v>
      </c>
      <c r="U39" s="156"/>
      <c r="W39" s="9" t="s">
        <v>123</v>
      </c>
      <c r="X39" s="13" t="s">
        <v>98</v>
      </c>
      <c r="Y39" s="11">
        <v>1085000</v>
      </c>
      <c r="Z39" s="12">
        <v>0</v>
      </c>
      <c r="AA39" s="114">
        <f t="shared" ref="AA39:AA41" si="101">Y39+Z39</f>
        <v>1085000</v>
      </c>
      <c r="AB39" s="115"/>
      <c r="AD39" s="9" t="s">
        <v>123</v>
      </c>
      <c r="AE39" s="13" t="s">
        <v>98</v>
      </c>
      <c r="AF39" s="11">
        <v>1648600</v>
      </c>
      <c r="AG39" s="12">
        <v>0</v>
      </c>
      <c r="AH39" s="99">
        <f t="shared" ref="AH39:AH41" si="102">AF39+AG39</f>
        <v>1648600</v>
      </c>
      <c r="AI39" s="100"/>
      <c r="AK39" s="9" t="s">
        <v>123</v>
      </c>
      <c r="AL39" s="13" t="s">
        <v>98</v>
      </c>
      <c r="AM39" s="11">
        <v>1397200000</v>
      </c>
      <c r="AN39" s="12">
        <v>0</v>
      </c>
      <c r="AO39" s="114">
        <f>+AM39/1400</f>
        <v>998000</v>
      </c>
      <c r="AP39" s="115"/>
      <c r="AR39" s="9" t="s">
        <v>123</v>
      </c>
      <c r="AS39" s="13" t="s">
        <v>98</v>
      </c>
      <c r="AT39" s="11">
        <v>1683425.4854056835</v>
      </c>
      <c r="AU39" s="12">
        <v>0</v>
      </c>
      <c r="AV39" s="114">
        <f t="shared" ref="AV39:AV41" si="103">AT39+AU39</f>
        <v>1683425.4854056835</v>
      </c>
      <c r="AW39" s="115"/>
      <c r="AY39" s="54" t="s">
        <v>123</v>
      </c>
      <c r="AZ39" s="58" t="s">
        <v>98</v>
      </c>
      <c r="BA39" s="56">
        <v>2968437</v>
      </c>
      <c r="BB39" s="57">
        <v>0</v>
      </c>
      <c r="BC39" s="93">
        <f t="shared" si="95"/>
        <v>2968437</v>
      </c>
      <c r="BD39" s="94"/>
      <c r="BF39" s="34" t="s">
        <v>123</v>
      </c>
      <c r="BG39" s="38" t="s">
        <v>98</v>
      </c>
      <c r="BH39" s="36">
        <v>5800000</v>
      </c>
      <c r="BI39" s="37">
        <v>0</v>
      </c>
      <c r="BJ39" s="142">
        <f t="shared" ref="BJ39:BJ41" si="104">BH39+BI39</f>
        <v>5800000</v>
      </c>
      <c r="BK39" s="143"/>
      <c r="BM39" s="54" t="s">
        <v>123</v>
      </c>
      <c r="BN39" s="58" t="s">
        <v>98</v>
      </c>
      <c r="BO39" s="56">
        <v>3076052.9877357627</v>
      </c>
      <c r="BP39" s="57">
        <v>0</v>
      </c>
      <c r="BQ39" s="93">
        <f t="shared" si="96"/>
        <v>3076052.9877357627</v>
      </c>
      <c r="BR39" s="94"/>
      <c r="BT39" s="9" t="s">
        <v>123</v>
      </c>
      <c r="BU39" s="13" t="s">
        <v>98</v>
      </c>
      <c r="BV39" s="11">
        <v>0</v>
      </c>
      <c r="BW39" s="12">
        <v>0</v>
      </c>
      <c r="BX39" s="151">
        <f t="shared" ref="BX39:BX41" si="105">BV39+BW39</f>
        <v>0</v>
      </c>
      <c r="BY39" s="152"/>
      <c r="CA39" s="9" t="s">
        <v>123</v>
      </c>
      <c r="CB39" s="13" t="s">
        <v>98</v>
      </c>
      <c r="CC39" s="11">
        <v>1700000</v>
      </c>
      <c r="CD39" s="12">
        <f t="shared" ref="CD39:CD41" si="106">CC39*0.19</f>
        <v>323000</v>
      </c>
      <c r="CE39" s="99">
        <f t="shared" ref="CE39:CE41" si="107">CC39+CD39</f>
        <v>2023000</v>
      </c>
      <c r="CF39" s="100"/>
      <c r="CH39" s="9" t="s">
        <v>123</v>
      </c>
      <c r="CI39" s="13" t="s">
        <v>98</v>
      </c>
      <c r="CJ39" s="11">
        <v>2800000</v>
      </c>
      <c r="CK39" s="12">
        <v>0</v>
      </c>
      <c r="CL39" s="99">
        <f>CJ39+CK39</f>
        <v>2800000</v>
      </c>
      <c r="CM39" s="100"/>
      <c r="CO39" s="9" t="s">
        <v>238</v>
      </c>
      <c r="CP39" s="13" t="s">
        <v>213</v>
      </c>
      <c r="CQ39" s="11">
        <v>4400000</v>
      </c>
      <c r="CR39" s="12" t="s">
        <v>211</v>
      </c>
      <c r="CS39" s="99">
        <v>4400000</v>
      </c>
      <c r="CT39" s="100"/>
      <c r="CV39" s="54" t="s">
        <v>123</v>
      </c>
      <c r="CW39" s="58" t="s">
        <v>98</v>
      </c>
      <c r="CX39" s="56">
        <v>3000000</v>
      </c>
      <c r="CY39" s="57">
        <v>0</v>
      </c>
      <c r="CZ39" s="93">
        <f t="shared" si="97"/>
        <v>3000000</v>
      </c>
      <c r="DA39" s="94"/>
      <c r="DC39" s="9" t="s">
        <v>123</v>
      </c>
      <c r="DD39" s="13" t="s">
        <v>98</v>
      </c>
      <c r="DE39" s="11">
        <f>526333.333333333*5/3</f>
        <v>877222.22222222167</v>
      </c>
      <c r="DF39" s="12">
        <f>DE39*0.19</f>
        <v>166672.22222222213</v>
      </c>
      <c r="DG39" s="99">
        <f t="shared" ref="DG39:DG41" si="108">DE39+DF39</f>
        <v>1043894.4444444438</v>
      </c>
      <c r="DH39" s="100"/>
      <c r="DJ39" s="70" t="s">
        <v>123</v>
      </c>
      <c r="DK39" s="71" t="s">
        <v>98</v>
      </c>
      <c r="DL39" s="72">
        <f>+MAX(F39,M39,T39,AA39,AH39,AO39,AV39,BC39,BJ39,BQ39,CE39,CL39,CS39,CZ39,DG39)</f>
        <v>5800000</v>
      </c>
      <c r="DM39" s="72">
        <f>+MIN(F39,M39,T39,AA39,AH39,AO39,AV39,BC39,BJ39,BQ39,CE39,CL39,CS39,CZ39,DG39)</f>
        <v>998000</v>
      </c>
      <c r="DN39" s="72">
        <f>+AVERAGE(F39,M39,T39,AA39,AH39,AO39,AV39,BC39,BJ39,BQ39,CE39,CL39,CS39,CZ39,DG39)</f>
        <v>2571666.527839059</v>
      </c>
      <c r="DO39" s="72">
        <f>+TRIMMEAN((F39,M39,T39,AA39,AH39,AO39,AV39,BC39,BJ39,BQ39,CE39,CL39,CS39,CZ39,DG39),(2/15))</f>
        <v>2444384.4551989147</v>
      </c>
      <c r="DP39" s="72">
        <f>+MEDIAN(F39,M39,T39,AA39,AH39,AO39,AV39,BC39,BJ39,BQ39,CE39,CL39,CS39,CZ39,DG39)</f>
        <v>2679880</v>
      </c>
      <c r="DQ39" s="86" t="str">
        <f>IFERROR(MODE(F39,M39,T39,AA39,AH39,AO39,AV39,BC39,BJ39,BQ39,CE39,CL39,CS39,CZ39,DG39),"N/A")</f>
        <v>N/A</v>
      </c>
      <c r="DR39" s="88">
        <f>+STDEV(F39,M39,T39,AA39,AH39,AO39,AV39,BC39,BJ39,BQ39,CE39,CL39,CS39,CZ39,DG39)/DN39</f>
        <v>0.50304618019397052</v>
      </c>
      <c r="DS39" t="s">
        <v>176</v>
      </c>
      <c r="DT39" t="s">
        <v>165</v>
      </c>
    </row>
    <row r="40" spans="1:124" ht="17" thickBot="1" x14ac:dyDescent="0.25">
      <c r="A40" s="168"/>
      <c r="B40" s="9" t="s">
        <v>124</v>
      </c>
      <c r="C40" s="13" t="s">
        <v>100</v>
      </c>
      <c r="D40" s="11">
        <v>1916000</v>
      </c>
      <c r="E40" s="12">
        <f t="shared" si="98"/>
        <v>364040</v>
      </c>
      <c r="F40" s="99">
        <f t="shared" si="99"/>
        <v>2280040</v>
      </c>
      <c r="G40" s="100"/>
      <c r="I40" s="9" t="s">
        <v>124</v>
      </c>
      <c r="J40" s="13" t="s">
        <v>100</v>
      </c>
      <c r="K40" s="11">
        <v>2770305</v>
      </c>
      <c r="L40" s="12">
        <v>0</v>
      </c>
      <c r="M40" s="99">
        <f t="shared" si="100"/>
        <v>2770305</v>
      </c>
      <c r="N40" s="100"/>
      <c r="P40" s="9" t="s">
        <v>124</v>
      </c>
      <c r="Q40" s="13" t="s">
        <v>100</v>
      </c>
      <c r="R40" s="11">
        <v>2470000</v>
      </c>
      <c r="S40" s="12">
        <v>0</v>
      </c>
      <c r="T40" s="155">
        <f>+R40+S40</f>
        <v>2470000</v>
      </c>
      <c r="U40" s="156"/>
      <c r="W40" s="9" t="s">
        <v>124</v>
      </c>
      <c r="X40" s="13" t="s">
        <v>100</v>
      </c>
      <c r="Y40" s="11">
        <v>1714750</v>
      </c>
      <c r="Z40" s="12">
        <v>0</v>
      </c>
      <c r="AA40" s="114">
        <f t="shared" si="101"/>
        <v>1714750</v>
      </c>
      <c r="AB40" s="115"/>
      <c r="AD40" s="9" t="s">
        <v>124</v>
      </c>
      <c r="AE40" s="13" t="s">
        <v>100</v>
      </c>
      <c r="AF40" s="11">
        <v>1566900</v>
      </c>
      <c r="AG40" s="12">
        <v>0</v>
      </c>
      <c r="AH40" s="99">
        <f t="shared" si="102"/>
        <v>1566900</v>
      </c>
      <c r="AI40" s="100"/>
      <c r="AK40" s="9" t="s">
        <v>124</v>
      </c>
      <c r="AL40" s="13" t="s">
        <v>100</v>
      </c>
      <c r="AM40" s="11">
        <v>1449000000</v>
      </c>
      <c r="AN40" s="12">
        <v>0</v>
      </c>
      <c r="AO40" s="114">
        <f>+AM40/2000</f>
        <v>724500</v>
      </c>
      <c r="AP40" s="115"/>
      <c r="AR40" s="9" t="s">
        <v>124</v>
      </c>
      <c r="AS40" s="13" t="s">
        <v>100</v>
      </c>
      <c r="AT40" s="11">
        <v>1666921.3139801375</v>
      </c>
      <c r="AU40" s="12">
        <v>0</v>
      </c>
      <c r="AV40" s="114">
        <f t="shared" si="103"/>
        <v>1666921.3139801375</v>
      </c>
      <c r="AW40" s="115"/>
      <c r="AY40" s="54" t="s">
        <v>124</v>
      </c>
      <c r="AZ40" s="58" t="s">
        <v>100</v>
      </c>
      <c r="BA40" s="56">
        <v>2892395</v>
      </c>
      <c r="BB40" s="57">
        <v>0</v>
      </c>
      <c r="BC40" s="93">
        <f t="shared" si="95"/>
        <v>2892395</v>
      </c>
      <c r="BD40" s="94"/>
      <c r="BF40" s="34" t="s">
        <v>124</v>
      </c>
      <c r="BG40" s="38" t="s">
        <v>100</v>
      </c>
      <c r="BH40" s="36">
        <v>5800000</v>
      </c>
      <c r="BI40" s="37">
        <v>0</v>
      </c>
      <c r="BJ40" s="142">
        <f t="shared" si="104"/>
        <v>5800000</v>
      </c>
      <c r="BK40" s="143"/>
      <c r="BM40" s="54" t="s">
        <v>124</v>
      </c>
      <c r="BN40" s="58" t="s">
        <v>100</v>
      </c>
      <c r="BO40" s="56">
        <v>2997203.0168496729</v>
      </c>
      <c r="BP40" s="57">
        <v>0</v>
      </c>
      <c r="BQ40" s="93">
        <f t="shared" si="96"/>
        <v>2997203.0168496729</v>
      </c>
      <c r="BR40" s="94"/>
      <c r="BT40" s="9" t="s">
        <v>124</v>
      </c>
      <c r="BU40" s="13" t="s">
        <v>100</v>
      </c>
      <c r="BV40" s="11">
        <v>0</v>
      </c>
      <c r="BW40" s="12">
        <v>0</v>
      </c>
      <c r="BX40" s="151">
        <f t="shared" si="105"/>
        <v>0</v>
      </c>
      <c r="BY40" s="152"/>
      <c r="CA40" s="9" t="s">
        <v>124</v>
      </c>
      <c r="CB40" s="13" t="s">
        <v>100</v>
      </c>
      <c r="CC40" s="11">
        <v>1600000</v>
      </c>
      <c r="CD40" s="12">
        <f t="shared" si="106"/>
        <v>304000</v>
      </c>
      <c r="CE40" s="99">
        <f t="shared" si="107"/>
        <v>1904000</v>
      </c>
      <c r="CF40" s="100"/>
      <c r="CH40" s="9" t="s">
        <v>124</v>
      </c>
      <c r="CI40" s="13" t="s">
        <v>100</v>
      </c>
      <c r="CJ40" s="11">
        <v>2720000</v>
      </c>
      <c r="CK40" s="12">
        <v>0</v>
      </c>
      <c r="CL40" s="99">
        <f>CJ40+CK40</f>
        <v>2720000</v>
      </c>
      <c r="CM40" s="100"/>
      <c r="CO40" s="9" t="s">
        <v>239</v>
      </c>
      <c r="CP40" s="13" t="s">
        <v>215</v>
      </c>
      <c r="CQ40" s="11">
        <v>4000000</v>
      </c>
      <c r="CR40" s="12" t="s">
        <v>211</v>
      </c>
      <c r="CS40" s="99">
        <v>4000000</v>
      </c>
      <c r="CT40" s="100"/>
      <c r="CV40" s="54" t="s">
        <v>124</v>
      </c>
      <c r="CW40" s="58" t="s">
        <v>100</v>
      </c>
      <c r="CX40" s="56">
        <v>3000000</v>
      </c>
      <c r="CY40" s="57">
        <v>0</v>
      </c>
      <c r="CZ40" s="93">
        <f t="shared" si="97"/>
        <v>3000000</v>
      </c>
      <c r="DA40" s="94"/>
      <c r="DC40" s="9" t="s">
        <v>124</v>
      </c>
      <c r="DD40" s="13" t="s">
        <v>100</v>
      </c>
      <c r="DE40" s="11">
        <f>DE39</f>
        <v>877222.22222222167</v>
      </c>
      <c r="DF40" s="12">
        <f>DE40*0.19</f>
        <v>166672.22222222213</v>
      </c>
      <c r="DG40" s="99">
        <f t="shared" si="108"/>
        <v>1043894.4444444438</v>
      </c>
      <c r="DH40" s="100"/>
      <c r="DJ40" s="70" t="s">
        <v>124</v>
      </c>
      <c r="DK40" s="71" t="s">
        <v>100</v>
      </c>
      <c r="DL40" s="72">
        <f t="shared" ref="DL40:DL41" si="109">+MAX(F40,M40,T40,AA40,AH40,AO40,AV40,BC40,BJ40,BQ40,CE40,CL40,CS40,CZ40,DG40)</f>
        <v>5800000</v>
      </c>
      <c r="DM40" s="72">
        <f t="shared" ref="DM40:DM41" si="110">+MIN(F40,M40,T40,AA40,AH40,AO40,AV40,BC40,BJ40,BQ40,CE40,CL40,CS40,CZ40,DG40)</f>
        <v>724500</v>
      </c>
      <c r="DN40" s="72">
        <f t="shared" ref="DN40:DN41" si="111">+AVERAGE(F40,M40,T40,AA40,AH40,AO40,AV40,BC40,BJ40,BQ40,CE40,CL40,CS40,CZ40,DG40)</f>
        <v>2503393.9183516172</v>
      </c>
      <c r="DO40" s="72">
        <f>+TRIMMEAN((F40,M40,T40,AA40,AH40,AO40,AV40,BC40,BJ40,BQ40,CE40,CL40,CS40,CZ40,DG40),(2/15))</f>
        <v>2386646.8288672501</v>
      </c>
      <c r="DP40" s="72">
        <f t="shared" ref="DP40:DP41" si="112">+MEDIAN(F40,M40,T40,AA40,AH40,AO40,AV40,BC40,BJ40,BQ40,CE40,CL40,CS40,CZ40,DG40)</f>
        <v>2470000</v>
      </c>
      <c r="DQ40" s="86" t="str">
        <f t="shared" ref="DQ40:DQ41" si="113">IFERROR(MODE(F40,M40,T40,AA40,AH40,AO40,AV40,BC40,BJ40,BQ40,CE40,CL40,CS40,CZ40,DG40),"N/A")</f>
        <v>N/A</v>
      </c>
      <c r="DR40" s="88">
        <f>+STDEV(F40,M40,T40,AA40,AH40,AO40,AV40,BC40,BJ40,BQ40,CE40,CL40,CS40,CZ40,DG40)/DN40</f>
        <v>0.49813298442026599</v>
      </c>
      <c r="DS40" t="s">
        <v>176</v>
      </c>
      <c r="DT40" t="s">
        <v>165</v>
      </c>
    </row>
    <row r="41" spans="1:124" ht="17" customHeight="1" thickBot="1" x14ac:dyDescent="0.25">
      <c r="A41" s="169"/>
      <c r="B41" s="9" t="s">
        <v>125</v>
      </c>
      <c r="C41" s="14" t="s">
        <v>102</v>
      </c>
      <c r="D41" s="11">
        <v>1854000</v>
      </c>
      <c r="E41" s="12">
        <f t="shared" si="98"/>
        <v>352260</v>
      </c>
      <c r="F41" s="99">
        <f t="shared" si="99"/>
        <v>2206260</v>
      </c>
      <c r="G41" s="100"/>
      <c r="I41" s="9" t="s">
        <v>125</v>
      </c>
      <c r="J41" s="14" t="s">
        <v>102</v>
      </c>
      <c r="K41" s="11">
        <v>2717084</v>
      </c>
      <c r="L41" s="12">
        <v>0</v>
      </c>
      <c r="M41" s="99">
        <f t="shared" si="100"/>
        <v>2717084</v>
      </c>
      <c r="N41" s="100"/>
      <c r="P41" s="9" t="s">
        <v>125</v>
      </c>
      <c r="Q41" s="14" t="s">
        <v>102</v>
      </c>
      <c r="R41" s="11">
        <v>2400000</v>
      </c>
      <c r="S41" s="12">
        <v>0</v>
      </c>
      <c r="T41" s="155">
        <f>+R41+S41</f>
        <v>2400000</v>
      </c>
      <c r="U41" s="156"/>
      <c r="W41" s="9" t="s">
        <v>125</v>
      </c>
      <c r="X41" s="14" t="s">
        <v>102</v>
      </c>
      <c r="Y41" s="11">
        <v>1627012</v>
      </c>
      <c r="Z41" s="12">
        <v>0</v>
      </c>
      <c r="AA41" s="114">
        <f t="shared" si="101"/>
        <v>1627012</v>
      </c>
      <c r="AB41" s="115"/>
      <c r="AD41" s="9" t="s">
        <v>125</v>
      </c>
      <c r="AE41" s="14" t="s">
        <v>102</v>
      </c>
      <c r="AF41" s="11">
        <v>1534200</v>
      </c>
      <c r="AG41" s="12">
        <v>0</v>
      </c>
      <c r="AH41" s="99">
        <f t="shared" si="102"/>
        <v>1534200</v>
      </c>
      <c r="AI41" s="100"/>
      <c r="AK41" s="9" t="s">
        <v>125</v>
      </c>
      <c r="AL41" s="14" t="s">
        <v>102</v>
      </c>
      <c r="AM41" s="11">
        <v>1449000000</v>
      </c>
      <c r="AN41" s="12">
        <v>0</v>
      </c>
      <c r="AO41" s="114">
        <f>+AM41/2001</f>
        <v>724137.93103448278</v>
      </c>
      <c r="AP41" s="115"/>
      <c r="AR41" s="9" t="s">
        <v>125</v>
      </c>
      <c r="AS41" s="14" t="s">
        <v>102</v>
      </c>
      <c r="AT41" s="11">
        <v>1650737.6119026605</v>
      </c>
      <c r="AU41" s="12">
        <v>0</v>
      </c>
      <c r="AV41" s="114">
        <f t="shared" si="103"/>
        <v>1650737.6119026605</v>
      </c>
      <c r="AW41" s="115"/>
      <c r="AY41" s="54" t="s">
        <v>125</v>
      </c>
      <c r="AZ41" s="59" t="s">
        <v>102</v>
      </c>
      <c r="BA41" s="56">
        <v>2799079</v>
      </c>
      <c r="BB41" s="57">
        <v>0</v>
      </c>
      <c r="BC41" s="93">
        <f t="shared" si="95"/>
        <v>2799079</v>
      </c>
      <c r="BD41" s="94"/>
      <c r="BF41" s="34" t="s">
        <v>125</v>
      </c>
      <c r="BG41" s="39" t="s">
        <v>102</v>
      </c>
      <c r="BH41" s="36">
        <v>5700000</v>
      </c>
      <c r="BI41" s="37">
        <v>0</v>
      </c>
      <c r="BJ41" s="142">
        <f t="shared" si="104"/>
        <v>5700000</v>
      </c>
      <c r="BK41" s="143"/>
      <c r="BM41" s="54" t="s">
        <v>125</v>
      </c>
      <c r="BN41" s="59" t="s">
        <v>102</v>
      </c>
      <c r="BO41" s="56">
        <v>2900569.2821893804</v>
      </c>
      <c r="BP41" s="57">
        <v>0</v>
      </c>
      <c r="BQ41" s="93">
        <f t="shared" si="96"/>
        <v>2900569.2821893804</v>
      </c>
      <c r="BR41" s="94"/>
      <c r="BT41" s="9" t="s">
        <v>125</v>
      </c>
      <c r="BU41" s="14" t="s">
        <v>102</v>
      </c>
      <c r="BV41" s="11">
        <v>0</v>
      </c>
      <c r="BW41" s="12">
        <v>0</v>
      </c>
      <c r="BX41" s="151">
        <f t="shared" si="105"/>
        <v>0</v>
      </c>
      <c r="BY41" s="152"/>
      <c r="CA41" s="9" t="s">
        <v>125</v>
      </c>
      <c r="CB41" s="14" t="s">
        <v>102</v>
      </c>
      <c r="CC41" s="11">
        <v>1500000</v>
      </c>
      <c r="CD41" s="12">
        <f t="shared" si="106"/>
        <v>285000</v>
      </c>
      <c r="CE41" s="99">
        <f t="shared" si="107"/>
        <v>1785000</v>
      </c>
      <c r="CF41" s="100"/>
      <c r="CH41" s="9" t="s">
        <v>125</v>
      </c>
      <c r="CI41" s="14" t="s">
        <v>102</v>
      </c>
      <c r="CJ41" s="11">
        <v>2700000</v>
      </c>
      <c r="CK41" s="12">
        <v>0</v>
      </c>
      <c r="CL41" s="99">
        <f>CJ41+CK41</f>
        <v>2700000</v>
      </c>
      <c r="CM41" s="100"/>
      <c r="CO41" s="9" t="s">
        <v>240</v>
      </c>
      <c r="CP41" s="14" t="s">
        <v>217</v>
      </c>
      <c r="CQ41" s="11">
        <v>3800000</v>
      </c>
      <c r="CR41" s="12" t="s">
        <v>211</v>
      </c>
      <c r="CS41" s="99">
        <v>3800000</v>
      </c>
      <c r="CT41" s="100"/>
      <c r="CV41" s="54" t="s">
        <v>125</v>
      </c>
      <c r="CW41" s="59" t="s">
        <v>102</v>
      </c>
      <c r="CX41" s="56">
        <v>3000000</v>
      </c>
      <c r="CY41" s="57">
        <v>0</v>
      </c>
      <c r="CZ41" s="93">
        <f t="shared" si="97"/>
        <v>3000000</v>
      </c>
      <c r="DA41" s="94"/>
      <c r="DC41" s="9" t="s">
        <v>125</v>
      </c>
      <c r="DD41" s="14" t="s">
        <v>102</v>
      </c>
      <c r="DE41" s="11">
        <f>DE40</f>
        <v>877222.22222222167</v>
      </c>
      <c r="DF41" s="12">
        <f>DE41*0.19</f>
        <v>166672.22222222213</v>
      </c>
      <c r="DG41" s="99">
        <f t="shared" si="108"/>
        <v>1043894.4444444438</v>
      </c>
      <c r="DH41" s="100"/>
      <c r="DJ41" s="70" t="s">
        <v>125</v>
      </c>
      <c r="DK41" s="71" t="s">
        <v>102</v>
      </c>
      <c r="DL41" s="72">
        <f t="shared" si="109"/>
        <v>5700000</v>
      </c>
      <c r="DM41" s="72">
        <f t="shared" si="110"/>
        <v>724137.93103448278</v>
      </c>
      <c r="DN41" s="72">
        <f t="shared" si="111"/>
        <v>2439198.2846380644</v>
      </c>
      <c r="DO41" s="72">
        <f>+TRIMMEAN((F41,M41,T41,AA41,AH41,AO41,AV41,BC41,BJ41,BQ41,CE41,CL41,CS41,CZ41,DG41),(2/15))</f>
        <v>2320295.1029643449</v>
      </c>
      <c r="DP41" s="72">
        <f t="shared" si="112"/>
        <v>2400000</v>
      </c>
      <c r="DQ41" s="86" t="str">
        <f t="shared" si="113"/>
        <v>N/A</v>
      </c>
      <c r="DR41" s="88">
        <f>+STDEV(F41,M41,T41,AA41,AH41,AO41,AV41,BC41,BJ41,BQ41,CE41,CL41,CS41,CZ41,DG41)/DN41</f>
        <v>0.49922179949337242</v>
      </c>
      <c r="DS41" t="s">
        <v>176</v>
      </c>
      <c r="DT41" t="s">
        <v>165</v>
      </c>
    </row>
    <row r="42" spans="1:124" ht="46" thickBot="1" x14ac:dyDescent="0.25">
      <c r="A42" s="1" t="s">
        <v>126</v>
      </c>
      <c r="B42" s="103" t="s">
        <v>127</v>
      </c>
      <c r="C42" s="104"/>
      <c r="D42" s="104"/>
      <c r="E42" s="105"/>
      <c r="F42" s="18" t="s">
        <v>3</v>
      </c>
      <c r="G42" s="19" t="s">
        <v>93</v>
      </c>
      <c r="I42" s="103" t="s">
        <v>127</v>
      </c>
      <c r="J42" s="104"/>
      <c r="K42" s="104"/>
      <c r="L42" s="105"/>
      <c r="M42" s="18" t="s">
        <v>3</v>
      </c>
      <c r="N42" s="19" t="s">
        <v>93</v>
      </c>
      <c r="P42" s="15" t="s">
        <v>127</v>
      </c>
      <c r="Q42" s="16"/>
      <c r="R42" s="16"/>
      <c r="S42" s="17"/>
      <c r="T42" s="18" t="s">
        <v>3</v>
      </c>
      <c r="U42" s="19" t="s">
        <v>93</v>
      </c>
      <c r="W42" s="103" t="s">
        <v>127</v>
      </c>
      <c r="X42" s="104"/>
      <c r="Y42" s="104"/>
      <c r="Z42" s="105"/>
      <c r="AA42" s="18" t="s">
        <v>3</v>
      </c>
      <c r="AB42" s="19" t="s">
        <v>93</v>
      </c>
      <c r="AD42" s="103" t="s">
        <v>127</v>
      </c>
      <c r="AE42" s="104"/>
      <c r="AF42" s="104"/>
      <c r="AG42" s="105"/>
      <c r="AH42" s="18" t="s">
        <v>3</v>
      </c>
      <c r="AI42" s="19" t="s">
        <v>93</v>
      </c>
      <c r="AK42" s="103" t="s">
        <v>127</v>
      </c>
      <c r="AL42" s="104"/>
      <c r="AM42" s="104"/>
      <c r="AN42" s="105"/>
      <c r="AO42" s="18" t="s">
        <v>3</v>
      </c>
      <c r="AP42" s="19" t="s">
        <v>93</v>
      </c>
      <c r="AR42" s="103" t="s">
        <v>127</v>
      </c>
      <c r="AS42" s="104"/>
      <c r="AT42" s="104"/>
      <c r="AU42" s="105"/>
      <c r="AV42" s="18" t="s">
        <v>3</v>
      </c>
      <c r="AW42" s="19" t="s">
        <v>93</v>
      </c>
      <c r="AY42" s="95" t="s">
        <v>127</v>
      </c>
      <c r="AZ42" s="96"/>
      <c r="BA42" s="96"/>
      <c r="BB42" s="97"/>
      <c r="BC42" s="60" t="s">
        <v>3</v>
      </c>
      <c r="BD42" s="61" t="s">
        <v>93</v>
      </c>
      <c r="BF42" s="144" t="s">
        <v>127</v>
      </c>
      <c r="BG42" s="145"/>
      <c r="BH42" s="145"/>
      <c r="BI42" s="146"/>
      <c r="BJ42" s="40" t="s">
        <v>3</v>
      </c>
      <c r="BK42" s="41" t="s">
        <v>93</v>
      </c>
      <c r="BM42" s="95" t="s">
        <v>127</v>
      </c>
      <c r="BN42" s="96"/>
      <c r="BO42" s="96"/>
      <c r="BP42" s="97"/>
      <c r="BQ42" s="60" t="s">
        <v>3</v>
      </c>
      <c r="BR42" s="61" t="s">
        <v>93</v>
      </c>
      <c r="BT42" s="103" t="s">
        <v>127</v>
      </c>
      <c r="BU42" s="104"/>
      <c r="BV42" s="104"/>
      <c r="BW42" s="105"/>
      <c r="BX42" s="18" t="s">
        <v>3</v>
      </c>
      <c r="BY42" s="19" t="s">
        <v>93</v>
      </c>
      <c r="CA42" s="103" t="s">
        <v>127</v>
      </c>
      <c r="CB42" s="104"/>
      <c r="CC42" s="104"/>
      <c r="CD42" s="105"/>
      <c r="CE42" s="18" t="s">
        <v>3</v>
      </c>
      <c r="CF42" s="19" t="s">
        <v>93</v>
      </c>
      <c r="CH42" s="103" t="s">
        <v>127</v>
      </c>
      <c r="CI42" s="104"/>
      <c r="CJ42" s="104"/>
      <c r="CK42" s="105"/>
      <c r="CL42" s="18" t="s">
        <v>3</v>
      </c>
      <c r="CM42" s="19" t="s">
        <v>93</v>
      </c>
      <c r="CO42" s="103" t="s">
        <v>241</v>
      </c>
      <c r="CP42" s="104"/>
      <c r="CQ42" s="104"/>
      <c r="CR42" s="105"/>
      <c r="CS42" s="18" t="s">
        <v>202</v>
      </c>
      <c r="CT42" s="19" t="s">
        <v>203</v>
      </c>
      <c r="CV42" s="95" t="s">
        <v>127</v>
      </c>
      <c r="CW42" s="96"/>
      <c r="CX42" s="96"/>
      <c r="CY42" s="97"/>
      <c r="CZ42" s="60" t="s">
        <v>3</v>
      </c>
      <c r="DA42" s="61" t="s">
        <v>93</v>
      </c>
      <c r="DC42" s="103" t="s">
        <v>127</v>
      </c>
      <c r="DD42" s="104"/>
      <c r="DE42" s="104"/>
      <c r="DF42" s="105"/>
      <c r="DG42" s="18" t="s">
        <v>3</v>
      </c>
      <c r="DH42" s="19" t="s">
        <v>93</v>
      </c>
    </row>
    <row r="43" spans="1:124" ht="46" thickBot="1" x14ac:dyDescent="0.25">
      <c r="A43" s="3" t="s">
        <v>5</v>
      </c>
      <c r="B43" s="20" t="s">
        <v>6</v>
      </c>
      <c r="C43" s="20" t="s">
        <v>7</v>
      </c>
      <c r="D43" s="20" t="s">
        <v>8</v>
      </c>
      <c r="E43" s="21" t="s">
        <v>9</v>
      </c>
      <c r="F43" s="106" t="s">
        <v>21</v>
      </c>
      <c r="G43" s="107"/>
      <c r="I43" s="20" t="s">
        <v>6</v>
      </c>
      <c r="J43" s="20" t="s">
        <v>7</v>
      </c>
      <c r="K43" s="20" t="s">
        <v>8</v>
      </c>
      <c r="L43" s="21" t="s">
        <v>9</v>
      </c>
      <c r="M43" s="106" t="s">
        <v>21</v>
      </c>
      <c r="N43" s="107"/>
      <c r="P43" s="20" t="s">
        <v>6</v>
      </c>
      <c r="Q43" s="20" t="s">
        <v>7</v>
      </c>
      <c r="R43" s="20" t="s">
        <v>8</v>
      </c>
      <c r="S43" s="21" t="s">
        <v>9</v>
      </c>
      <c r="T43" s="22" t="s">
        <v>21</v>
      </c>
      <c r="U43" s="23"/>
      <c r="W43" s="20" t="s">
        <v>6</v>
      </c>
      <c r="X43" s="20" t="s">
        <v>7</v>
      </c>
      <c r="Y43" s="20" t="s">
        <v>8</v>
      </c>
      <c r="Z43" s="21" t="s">
        <v>9</v>
      </c>
      <c r="AA43" s="106" t="s">
        <v>21</v>
      </c>
      <c r="AB43" s="107"/>
      <c r="AD43" s="20" t="s">
        <v>6</v>
      </c>
      <c r="AE43" s="20" t="s">
        <v>7</v>
      </c>
      <c r="AF43" s="20" t="s">
        <v>8</v>
      </c>
      <c r="AG43" s="21" t="s">
        <v>9</v>
      </c>
      <c r="AH43" s="106" t="s">
        <v>21</v>
      </c>
      <c r="AI43" s="107"/>
      <c r="AK43" s="20" t="s">
        <v>6</v>
      </c>
      <c r="AL43" s="20" t="s">
        <v>7</v>
      </c>
      <c r="AM43" s="20" t="s">
        <v>8</v>
      </c>
      <c r="AN43" s="21" t="s">
        <v>9</v>
      </c>
      <c r="AO43" s="106" t="s">
        <v>21</v>
      </c>
      <c r="AP43" s="107"/>
      <c r="AR43" s="20" t="s">
        <v>6</v>
      </c>
      <c r="AS43" s="20" t="s">
        <v>7</v>
      </c>
      <c r="AT43" s="20" t="s">
        <v>8</v>
      </c>
      <c r="AU43" s="21" t="s">
        <v>9</v>
      </c>
      <c r="AV43" s="106" t="s">
        <v>21</v>
      </c>
      <c r="AW43" s="107"/>
      <c r="AY43" s="52" t="s">
        <v>6</v>
      </c>
      <c r="AZ43" s="52" t="s">
        <v>7</v>
      </c>
      <c r="BA43" s="52" t="s">
        <v>8</v>
      </c>
      <c r="BB43" s="53" t="s">
        <v>9</v>
      </c>
      <c r="BC43" s="98" t="s">
        <v>21</v>
      </c>
      <c r="BD43" s="97"/>
      <c r="BF43" s="42" t="s">
        <v>6</v>
      </c>
      <c r="BG43" s="42" t="s">
        <v>7</v>
      </c>
      <c r="BH43" s="42" t="s">
        <v>8</v>
      </c>
      <c r="BI43" s="43" t="s">
        <v>9</v>
      </c>
      <c r="BJ43" s="147" t="s">
        <v>21</v>
      </c>
      <c r="BK43" s="148"/>
      <c r="BM43" s="52" t="s">
        <v>6</v>
      </c>
      <c r="BN43" s="52" t="s">
        <v>7</v>
      </c>
      <c r="BO43" s="52" t="s">
        <v>8</v>
      </c>
      <c r="BP43" s="53" t="s">
        <v>9</v>
      </c>
      <c r="BQ43" s="98" t="s">
        <v>21</v>
      </c>
      <c r="BR43" s="97"/>
      <c r="BT43" s="20" t="s">
        <v>6</v>
      </c>
      <c r="BU43" s="20" t="s">
        <v>7</v>
      </c>
      <c r="BV43" s="20" t="s">
        <v>8</v>
      </c>
      <c r="BW43" s="21" t="s">
        <v>9</v>
      </c>
      <c r="BX43" s="106" t="s">
        <v>21</v>
      </c>
      <c r="BY43" s="107"/>
      <c r="CA43" s="20" t="s">
        <v>6</v>
      </c>
      <c r="CB43" s="20" t="s">
        <v>7</v>
      </c>
      <c r="CC43" s="20" t="s">
        <v>8</v>
      </c>
      <c r="CD43" s="21" t="s">
        <v>9</v>
      </c>
      <c r="CE43" s="106" t="s">
        <v>21</v>
      </c>
      <c r="CF43" s="107"/>
      <c r="CH43" s="20" t="s">
        <v>6</v>
      </c>
      <c r="CI43" s="20" t="s">
        <v>7</v>
      </c>
      <c r="CJ43" s="20" t="s">
        <v>8</v>
      </c>
      <c r="CK43" s="21" t="s">
        <v>9</v>
      </c>
      <c r="CL43" s="106" t="s">
        <v>21</v>
      </c>
      <c r="CM43" s="107"/>
      <c r="CO43" s="20" t="s">
        <v>204</v>
      </c>
      <c r="CP43" s="20" t="s">
        <v>205</v>
      </c>
      <c r="CQ43" s="20" t="s">
        <v>206</v>
      </c>
      <c r="CR43" s="21" t="s">
        <v>207</v>
      </c>
      <c r="CS43" s="106" t="s">
        <v>208</v>
      </c>
      <c r="CT43" s="107"/>
      <c r="CV43" s="52" t="s">
        <v>6</v>
      </c>
      <c r="CW43" s="52" t="s">
        <v>7</v>
      </c>
      <c r="CX43" s="52" t="s">
        <v>8</v>
      </c>
      <c r="CY43" s="53" t="s">
        <v>9</v>
      </c>
      <c r="CZ43" s="98" t="s">
        <v>21</v>
      </c>
      <c r="DA43" s="97"/>
      <c r="DC43" s="20" t="s">
        <v>6</v>
      </c>
      <c r="DD43" s="20" t="s">
        <v>7</v>
      </c>
      <c r="DE43" s="20" t="s">
        <v>8</v>
      </c>
      <c r="DF43" s="21" t="s">
        <v>9</v>
      </c>
      <c r="DG43" s="106" t="s">
        <v>21</v>
      </c>
      <c r="DH43" s="107"/>
      <c r="DJ43" s="68" t="s">
        <v>6</v>
      </c>
      <c r="DK43" s="68" t="s">
        <v>7</v>
      </c>
      <c r="DL43" s="69" t="s">
        <v>268</v>
      </c>
      <c r="DM43" s="69" t="s">
        <v>269</v>
      </c>
      <c r="DN43" s="69" t="s">
        <v>270</v>
      </c>
      <c r="DO43" s="69" t="s">
        <v>273</v>
      </c>
      <c r="DP43" s="69" t="s">
        <v>271</v>
      </c>
      <c r="DQ43" s="69" t="s">
        <v>272</v>
      </c>
      <c r="DS43" s="92" t="s">
        <v>291</v>
      </c>
      <c r="DT43" s="92" t="s">
        <v>292</v>
      </c>
    </row>
    <row r="44" spans="1:124" ht="17" thickBot="1" x14ac:dyDescent="0.25">
      <c r="A44" s="167" t="s">
        <v>94</v>
      </c>
      <c r="B44" s="9" t="s">
        <v>128</v>
      </c>
      <c r="C44" s="10" t="s">
        <v>96</v>
      </c>
      <c r="D44" s="11">
        <v>3210000</v>
      </c>
      <c r="E44" s="12">
        <f>(D44*19)/100</f>
        <v>609900</v>
      </c>
      <c r="F44" s="99">
        <f>D44+E44</f>
        <v>3819900</v>
      </c>
      <c r="G44" s="100"/>
      <c r="I44" s="9" t="s">
        <v>128</v>
      </c>
      <c r="J44" s="10" t="s">
        <v>96</v>
      </c>
      <c r="K44" s="11">
        <v>2548000</v>
      </c>
      <c r="L44" s="12">
        <v>0</v>
      </c>
      <c r="M44" s="99">
        <f>K44+L44</f>
        <v>2548000</v>
      </c>
      <c r="N44" s="100"/>
      <c r="P44" s="9" t="s">
        <v>128</v>
      </c>
      <c r="Q44" s="10" t="s">
        <v>96</v>
      </c>
      <c r="R44" s="11">
        <v>2650000</v>
      </c>
      <c r="S44" s="12">
        <v>0</v>
      </c>
      <c r="T44" s="155">
        <f>+R44+S44</f>
        <v>2650000</v>
      </c>
      <c r="U44" s="156"/>
      <c r="W44" s="9" t="s">
        <v>128</v>
      </c>
      <c r="X44" s="10" t="s">
        <v>96</v>
      </c>
      <c r="Y44" s="11">
        <v>1900000</v>
      </c>
      <c r="Z44" s="12">
        <v>0</v>
      </c>
      <c r="AA44" s="114">
        <f>Y44+Z44</f>
        <v>1900000</v>
      </c>
      <c r="AB44" s="115"/>
      <c r="AD44" s="9" t="s">
        <v>128</v>
      </c>
      <c r="AE44" s="10" t="s">
        <v>96</v>
      </c>
      <c r="AF44" s="11">
        <v>1730400</v>
      </c>
      <c r="AG44" s="12">
        <v>0</v>
      </c>
      <c r="AH44" s="99">
        <f>AF44+AG44</f>
        <v>1730400</v>
      </c>
      <c r="AI44" s="100"/>
      <c r="AK44" s="9" t="s">
        <v>128</v>
      </c>
      <c r="AL44" s="10" t="s">
        <v>96</v>
      </c>
      <c r="AM44" s="11">
        <v>770700000</v>
      </c>
      <c r="AN44" s="12">
        <v>0</v>
      </c>
      <c r="AO44" s="114">
        <f>+AM44/700</f>
        <v>1101000</v>
      </c>
      <c r="AP44" s="115"/>
      <c r="AR44" s="9" t="s">
        <v>128</v>
      </c>
      <c r="AS44" s="10" t="s">
        <v>96</v>
      </c>
      <c r="AT44" s="11">
        <v>1666921.3139801375</v>
      </c>
      <c r="AU44" s="12">
        <v>0</v>
      </c>
      <c r="AV44" s="114">
        <f>AT44+AU44</f>
        <v>1666921.3139801375</v>
      </c>
      <c r="AW44" s="115"/>
      <c r="AY44" s="54" t="s">
        <v>128</v>
      </c>
      <c r="AZ44" s="55" t="s">
        <v>96</v>
      </c>
      <c r="BA44" s="56">
        <v>4073651</v>
      </c>
      <c r="BB44" s="57">
        <v>0</v>
      </c>
      <c r="BC44" s="93">
        <f t="shared" ref="BC44:BC47" si="114">BA44+BB44</f>
        <v>4073651</v>
      </c>
      <c r="BD44" s="94"/>
      <c r="BF44" s="34" t="s">
        <v>128</v>
      </c>
      <c r="BG44" s="35" t="s">
        <v>96</v>
      </c>
      <c r="BH44" s="36">
        <v>6790000</v>
      </c>
      <c r="BI44" s="37">
        <v>0</v>
      </c>
      <c r="BJ44" s="142">
        <f>BH44+BI44</f>
        <v>6790000</v>
      </c>
      <c r="BK44" s="143"/>
      <c r="BM44" s="54" t="s">
        <v>128</v>
      </c>
      <c r="BN44" s="55" t="s">
        <v>96</v>
      </c>
      <c r="BO44" s="56">
        <v>4221355.5464988481</v>
      </c>
      <c r="BP44" s="57">
        <v>0</v>
      </c>
      <c r="BQ44" s="93">
        <f t="shared" ref="BQ44:BQ47" si="115">BO44+BP44</f>
        <v>4221355.5464988481</v>
      </c>
      <c r="BR44" s="94"/>
      <c r="BT44" s="9" t="s">
        <v>128</v>
      </c>
      <c r="BU44" s="10" t="s">
        <v>189</v>
      </c>
      <c r="BV44" s="11">
        <v>396503000</v>
      </c>
      <c r="BW44" s="12">
        <v>0</v>
      </c>
      <c r="BX44" s="114">
        <f>+BV44/245</f>
        <v>1618379.5918367347</v>
      </c>
      <c r="BY44" s="115"/>
      <c r="CA44" s="9" t="s">
        <v>128</v>
      </c>
      <c r="CB44" s="10" t="s">
        <v>96</v>
      </c>
      <c r="CC44" s="11">
        <v>1800000</v>
      </c>
      <c r="CD44" s="12">
        <f>CC44*0.19</f>
        <v>342000</v>
      </c>
      <c r="CE44" s="99">
        <f>CC44+CD44</f>
        <v>2142000</v>
      </c>
      <c r="CF44" s="100"/>
      <c r="CH44" s="9" t="s">
        <v>128</v>
      </c>
      <c r="CI44" s="10" t="s">
        <v>96</v>
      </c>
      <c r="CJ44" s="11">
        <v>3000000</v>
      </c>
      <c r="CK44" s="12">
        <v>0</v>
      </c>
      <c r="CL44" s="99">
        <f>CJ44+CK44</f>
        <v>3000000</v>
      </c>
      <c r="CM44" s="100"/>
      <c r="CO44" s="9" t="s">
        <v>242</v>
      </c>
      <c r="CP44" s="10" t="s">
        <v>210</v>
      </c>
      <c r="CQ44" s="11">
        <v>5200000</v>
      </c>
      <c r="CR44" s="12" t="s">
        <v>211</v>
      </c>
      <c r="CS44" s="99">
        <f>+CQ44</f>
        <v>5200000</v>
      </c>
      <c r="CT44" s="100"/>
      <c r="CV44" s="54" t="s">
        <v>128</v>
      </c>
      <c r="CW44" s="55" t="s">
        <v>96</v>
      </c>
      <c r="CX44" s="56">
        <v>3000000</v>
      </c>
      <c r="CY44" s="57">
        <v>0</v>
      </c>
      <c r="CZ44" s="93">
        <f t="shared" ref="CZ44:CZ47" si="116">CX44+CY44</f>
        <v>3000000</v>
      </c>
      <c r="DA44" s="94"/>
      <c r="DC44" s="9" t="s">
        <v>128</v>
      </c>
      <c r="DD44" s="10" t="s">
        <v>96</v>
      </c>
      <c r="DE44" s="11">
        <v>2008888.8888888834</v>
      </c>
      <c r="DF44" s="12">
        <f>DE44*0.19</f>
        <v>381688.88888888783</v>
      </c>
      <c r="DG44" s="99">
        <f>DE44+DF44</f>
        <v>2390577.7777777715</v>
      </c>
      <c r="DH44" s="100"/>
      <c r="DJ44" s="70" t="s">
        <v>128</v>
      </c>
      <c r="DK44" s="71" t="s">
        <v>96</v>
      </c>
      <c r="DL44" s="72">
        <f>+MAX(F44,M44,T44,AA44,AH44,AO44,AV44,BC44,BJ44,BQ44,BX44,CE44,CL44,CS44,CZ44,DG44)</f>
        <v>6790000</v>
      </c>
      <c r="DM44" s="72">
        <f>+MIN(F44,M44,T44,AA44,AH44,AO44,AV44,BC44,BJ44,BQ44,BX44,CE44,CL44,CS44,CZ44,DG44)</f>
        <v>1101000</v>
      </c>
      <c r="DN44" s="72">
        <f>+AVERAGE(F44,M44,T44,AA44,AH44,AO44,AV44,BC44,BJ44,BQ44,BX44,CE44,CL44,CS44,CZ44,DG44)</f>
        <v>2990761.5768808434</v>
      </c>
      <c r="DO44" s="72">
        <f>+TRIMMEAN((F44,M44,T44,AA44,AH44,AO44,AV44,BC44,BJ44,BQ44,BX44,CE44,CL44,CS44,CZ44,DG44),(2/16))</f>
        <v>2854370.3735781065</v>
      </c>
      <c r="DP44" s="72">
        <f>+MEDIAN(F44,M44,T44,AA44,AH44,AO44,AV44,BC44,BJ44,BQ44,BX44,CE44,CL44,CS44,CZ44,DG44)</f>
        <v>2599000</v>
      </c>
      <c r="DQ44" s="72">
        <f>IFERROR(MODE(F44,M44,T44,AA44,AH44,AO44,AV44,BC44,BJ44,BQ44,BX44,CE44,CL44,CS44,CZ44,DG44),"N/A")</f>
        <v>3000000</v>
      </c>
      <c r="DR44" s="88">
        <f>+STDEV(F44,M44,T44,AA44,AH44,AO44,AV44,BC44,BJ44,BQ44,BX44,CE44,CL44,CS44,CZ44,DG44)/DN44</f>
        <v>0.50390051805672142</v>
      </c>
      <c r="DS44" t="s">
        <v>176</v>
      </c>
      <c r="DT44" t="s">
        <v>165</v>
      </c>
    </row>
    <row r="45" spans="1:124" ht="17" thickBot="1" x14ac:dyDescent="0.25">
      <c r="A45" s="168"/>
      <c r="B45" s="9" t="s">
        <v>129</v>
      </c>
      <c r="C45" s="13" t="s">
        <v>98</v>
      </c>
      <c r="D45" s="11">
        <v>2252000</v>
      </c>
      <c r="E45" s="12">
        <f t="shared" ref="E45:E47" si="117">(D45*19)/100</f>
        <v>427880</v>
      </c>
      <c r="F45" s="99">
        <f t="shared" ref="F45:F47" si="118">D45+E45</f>
        <v>2679880</v>
      </c>
      <c r="G45" s="100"/>
      <c r="I45" s="9" t="s">
        <v>129</v>
      </c>
      <c r="J45" s="13" t="s">
        <v>98</v>
      </c>
      <c r="K45" s="11">
        <f>+K44*99.2%</f>
        <v>2527616</v>
      </c>
      <c r="L45" s="12">
        <v>0</v>
      </c>
      <c r="M45" s="99">
        <f t="shared" ref="M45:M47" si="119">K45+L45</f>
        <v>2527616</v>
      </c>
      <c r="N45" s="100"/>
      <c r="P45" s="9" t="s">
        <v>129</v>
      </c>
      <c r="Q45" s="13" t="s">
        <v>98</v>
      </c>
      <c r="R45" s="11">
        <v>2590000</v>
      </c>
      <c r="S45" s="12">
        <v>0</v>
      </c>
      <c r="T45" s="155">
        <f>+R45+S45</f>
        <v>2590000</v>
      </c>
      <c r="U45" s="156"/>
      <c r="W45" s="9" t="s">
        <v>129</v>
      </c>
      <c r="X45" s="13" t="s">
        <v>98</v>
      </c>
      <c r="Y45" s="11">
        <v>1085000</v>
      </c>
      <c r="Z45" s="12">
        <v>0</v>
      </c>
      <c r="AA45" s="114">
        <f t="shared" ref="AA45:AA47" si="120">Y45+Z45</f>
        <v>1085000</v>
      </c>
      <c r="AB45" s="115"/>
      <c r="AD45" s="9" t="s">
        <v>129</v>
      </c>
      <c r="AE45" s="13" t="s">
        <v>98</v>
      </c>
      <c r="AF45" s="11">
        <v>1648600</v>
      </c>
      <c r="AG45" s="12">
        <v>0</v>
      </c>
      <c r="AH45" s="99">
        <f t="shared" ref="AH45:AH47" si="121">AF45+AG45</f>
        <v>1648600</v>
      </c>
      <c r="AI45" s="100"/>
      <c r="AK45" s="9" t="s">
        <v>129</v>
      </c>
      <c r="AL45" s="13" t="s">
        <v>98</v>
      </c>
      <c r="AM45" s="11">
        <v>1397200000</v>
      </c>
      <c r="AN45" s="12">
        <v>0</v>
      </c>
      <c r="AO45" s="114">
        <f>+AM45/1400</f>
        <v>998000</v>
      </c>
      <c r="AP45" s="115"/>
      <c r="AR45" s="9" t="s">
        <v>129</v>
      </c>
      <c r="AS45" s="13" t="s">
        <v>98</v>
      </c>
      <c r="AT45" s="11">
        <v>1618370.2077477062</v>
      </c>
      <c r="AU45" s="12">
        <v>0</v>
      </c>
      <c r="AV45" s="114">
        <f t="shared" ref="AV45:AV47" si="122">AT45+AU45</f>
        <v>1618370.2077477062</v>
      </c>
      <c r="AW45" s="115"/>
      <c r="AY45" s="54" t="s">
        <v>129</v>
      </c>
      <c r="AZ45" s="58" t="s">
        <v>98</v>
      </c>
      <c r="BA45" s="56">
        <v>4013435</v>
      </c>
      <c r="BB45" s="57">
        <v>0</v>
      </c>
      <c r="BC45" s="93">
        <f t="shared" si="114"/>
        <v>4013435</v>
      </c>
      <c r="BD45" s="94"/>
      <c r="BF45" s="34" t="s">
        <v>129</v>
      </c>
      <c r="BG45" s="38" t="s">
        <v>98</v>
      </c>
      <c r="BH45" s="36">
        <v>5800000</v>
      </c>
      <c r="BI45" s="37">
        <v>0</v>
      </c>
      <c r="BJ45" s="142">
        <f t="shared" ref="BJ45:BJ47" si="123">BH45+BI45</f>
        <v>5800000</v>
      </c>
      <c r="BK45" s="143"/>
      <c r="BM45" s="54" t="s">
        <v>129</v>
      </c>
      <c r="BN45" s="58" t="s">
        <v>98</v>
      </c>
      <c r="BO45" s="56">
        <v>4158909.431819139</v>
      </c>
      <c r="BP45" s="57">
        <v>0</v>
      </c>
      <c r="BQ45" s="93">
        <f t="shared" si="115"/>
        <v>4158909.431819139</v>
      </c>
      <c r="BR45" s="94"/>
      <c r="BT45" s="9" t="s">
        <v>129</v>
      </c>
      <c r="BU45" s="13" t="s">
        <v>98</v>
      </c>
      <c r="BV45" s="11">
        <v>0</v>
      </c>
      <c r="BW45" s="12">
        <v>0</v>
      </c>
      <c r="BX45" s="151">
        <f t="shared" ref="BX45:BX47" si="124">BV45+BW45</f>
        <v>0</v>
      </c>
      <c r="BY45" s="152"/>
      <c r="CA45" s="9" t="s">
        <v>129</v>
      </c>
      <c r="CB45" s="13" t="s">
        <v>98</v>
      </c>
      <c r="CC45" s="11">
        <v>1700000</v>
      </c>
      <c r="CD45" s="12">
        <f t="shared" ref="CD45:CD47" si="125">CC45*0.19</f>
        <v>323000</v>
      </c>
      <c r="CE45" s="99">
        <f t="shared" ref="CE45:CE47" si="126">CC45+CD45</f>
        <v>2023000</v>
      </c>
      <c r="CF45" s="100"/>
      <c r="CH45" s="9" t="s">
        <v>129</v>
      </c>
      <c r="CI45" s="13" t="s">
        <v>98</v>
      </c>
      <c r="CJ45" s="11">
        <v>2800000</v>
      </c>
      <c r="CK45" s="12">
        <v>0</v>
      </c>
      <c r="CL45" s="99">
        <f>CJ45+CK45</f>
        <v>2800000</v>
      </c>
      <c r="CM45" s="100"/>
      <c r="CO45" s="9" t="s">
        <v>243</v>
      </c>
      <c r="CP45" s="13" t="s">
        <v>213</v>
      </c>
      <c r="CQ45" s="11">
        <v>4400000</v>
      </c>
      <c r="CR45" s="12" t="s">
        <v>211</v>
      </c>
      <c r="CS45" s="99">
        <v>4400000</v>
      </c>
      <c r="CT45" s="100"/>
      <c r="CV45" s="54" t="s">
        <v>129</v>
      </c>
      <c r="CW45" s="58" t="s">
        <v>98</v>
      </c>
      <c r="CX45" s="56">
        <v>3000000</v>
      </c>
      <c r="CY45" s="57">
        <v>0</v>
      </c>
      <c r="CZ45" s="93">
        <f t="shared" si="116"/>
        <v>3000000</v>
      </c>
      <c r="DA45" s="94"/>
      <c r="DC45" s="9" t="s">
        <v>129</v>
      </c>
      <c r="DD45" s="13" t="s">
        <v>98</v>
      </c>
      <c r="DE45" s="11">
        <v>943888.88888888841</v>
      </c>
      <c r="DF45" s="12">
        <f>DE45*0.19</f>
        <v>179338.88888888879</v>
      </c>
      <c r="DG45" s="99">
        <f t="shared" ref="DG45:DG47" si="127">DE45+DF45</f>
        <v>1123227.7777777773</v>
      </c>
      <c r="DH45" s="100"/>
      <c r="DJ45" s="70" t="s">
        <v>129</v>
      </c>
      <c r="DK45" s="71" t="s">
        <v>98</v>
      </c>
      <c r="DL45" s="72">
        <f>+MAX(F45,M45,T45,AA45,AH45,AO45,AV45,BC45,BJ45,BQ45,CE45,CL45,CS45,CZ45,DG45)</f>
        <v>5800000</v>
      </c>
      <c r="DM45" s="72">
        <f>+MIN(F45,M45,T45,AA45,AH45,AO45,AV45,BC45,BJ45,BQ45,CE45,CL45,CS45,CZ45,DG45)</f>
        <v>998000</v>
      </c>
      <c r="DN45" s="72">
        <f>+AVERAGE(F45,M45,T45,AA45,AH45,AO45,AV45,BC45,BJ45,BQ45,CE45,CL45,CS45,CZ45,DG45)</f>
        <v>2697735.8944896413</v>
      </c>
      <c r="DO45" s="72">
        <f>+TRIMMEAN((F45,M45,T45,AA45,AH45,AO45,AV45,BC45,BJ45,BQ45,CE45,CL45,CS45,CZ45,DG45),(2/15))</f>
        <v>2589849.1090265093</v>
      </c>
      <c r="DP45" s="72">
        <f>+MEDIAN(F45,M45,T45,AA45,AH45,AO45,AV45,BC45,BJ45,BQ45,CE45,CL45,CS45,CZ45,DG45)</f>
        <v>2590000</v>
      </c>
      <c r="DQ45" s="86" t="str">
        <f>IFERROR(MODE(F45,M45,T45,AA45,AH45,AO45,AV45,BC45,BJ45,BQ45,CE45,CL45,CS45,CZ45,DG45),"N/A")</f>
        <v>N/A</v>
      </c>
      <c r="DR45" s="88">
        <f>+STDEV(F45,M45,T45,AA45,AH45,AO45,AV45,BC45,BJ45,BQ45,CE45,CL45,CS45,CZ45,DG45)/DN45</f>
        <v>0.51687490429145999</v>
      </c>
      <c r="DS45" t="s">
        <v>176</v>
      </c>
      <c r="DT45" t="s">
        <v>165</v>
      </c>
    </row>
    <row r="46" spans="1:124" ht="17" thickBot="1" x14ac:dyDescent="0.25">
      <c r="A46" s="168"/>
      <c r="B46" s="9" t="s">
        <v>130</v>
      </c>
      <c r="C46" s="13" t="s">
        <v>100</v>
      </c>
      <c r="D46" s="11">
        <v>1916000</v>
      </c>
      <c r="E46" s="12">
        <f t="shared" si="117"/>
        <v>364040</v>
      </c>
      <c r="F46" s="99">
        <f t="shared" si="118"/>
        <v>2280040</v>
      </c>
      <c r="G46" s="100"/>
      <c r="I46" s="9" t="s">
        <v>130</v>
      </c>
      <c r="J46" s="13" t="s">
        <v>100</v>
      </c>
      <c r="K46" s="11">
        <f>+K44*98.9%</f>
        <v>2519972.0000000005</v>
      </c>
      <c r="L46" s="12">
        <v>0</v>
      </c>
      <c r="M46" s="99">
        <f t="shared" si="119"/>
        <v>2519972.0000000005</v>
      </c>
      <c r="N46" s="100"/>
      <c r="P46" s="9" t="s">
        <v>130</v>
      </c>
      <c r="Q46" s="13" t="s">
        <v>100</v>
      </c>
      <c r="R46" s="11">
        <v>2470000</v>
      </c>
      <c r="S46" s="12">
        <v>0</v>
      </c>
      <c r="T46" s="155">
        <f>+R46+S46</f>
        <v>2470000</v>
      </c>
      <c r="U46" s="156"/>
      <c r="W46" s="9" t="s">
        <v>130</v>
      </c>
      <c r="X46" s="13" t="s">
        <v>100</v>
      </c>
      <c r="Y46" s="11">
        <v>1714750</v>
      </c>
      <c r="Z46" s="12">
        <v>0</v>
      </c>
      <c r="AA46" s="114">
        <f t="shared" si="120"/>
        <v>1714750</v>
      </c>
      <c r="AB46" s="115"/>
      <c r="AD46" s="9" t="s">
        <v>130</v>
      </c>
      <c r="AE46" s="13" t="s">
        <v>100</v>
      </c>
      <c r="AF46" s="11">
        <v>1566900</v>
      </c>
      <c r="AG46" s="12">
        <v>0</v>
      </c>
      <c r="AH46" s="99">
        <f t="shared" si="121"/>
        <v>1566900</v>
      </c>
      <c r="AI46" s="100"/>
      <c r="AK46" s="9" t="s">
        <v>130</v>
      </c>
      <c r="AL46" s="13" t="s">
        <v>100</v>
      </c>
      <c r="AM46" s="11">
        <v>1449000000</v>
      </c>
      <c r="AN46" s="12">
        <v>0</v>
      </c>
      <c r="AO46" s="114">
        <f>+AM46/2000</f>
        <v>724500</v>
      </c>
      <c r="AP46" s="115"/>
      <c r="AR46" s="9" t="s">
        <v>130</v>
      </c>
      <c r="AS46" s="13" t="s">
        <v>100</v>
      </c>
      <c r="AT46" s="11">
        <v>1602808.9557501322</v>
      </c>
      <c r="AU46" s="12">
        <v>0</v>
      </c>
      <c r="AV46" s="114">
        <f t="shared" si="122"/>
        <v>1602808.9557501322</v>
      </c>
      <c r="AW46" s="115"/>
      <c r="AY46" s="54" t="s">
        <v>130</v>
      </c>
      <c r="AZ46" s="58" t="s">
        <v>100</v>
      </c>
      <c r="BA46" s="56">
        <v>3946947</v>
      </c>
      <c r="BB46" s="57">
        <v>0</v>
      </c>
      <c r="BC46" s="93">
        <f t="shared" si="114"/>
        <v>3946947</v>
      </c>
      <c r="BD46" s="94"/>
      <c r="BF46" s="34" t="s">
        <v>130</v>
      </c>
      <c r="BG46" s="38" t="s">
        <v>100</v>
      </c>
      <c r="BH46" s="36">
        <v>5800000</v>
      </c>
      <c r="BI46" s="37">
        <v>0</v>
      </c>
      <c r="BJ46" s="142">
        <f t="shared" si="123"/>
        <v>5800000</v>
      </c>
      <c r="BK46" s="143"/>
      <c r="BM46" s="54" t="s">
        <v>130</v>
      </c>
      <c r="BN46" s="58" t="s">
        <v>100</v>
      </c>
      <c r="BO46" s="56">
        <v>4090082.3278585137</v>
      </c>
      <c r="BP46" s="57">
        <v>0</v>
      </c>
      <c r="BQ46" s="93">
        <f t="shared" si="115"/>
        <v>4090082.3278585137</v>
      </c>
      <c r="BR46" s="94"/>
      <c r="BT46" s="9" t="s">
        <v>130</v>
      </c>
      <c r="BU46" s="13" t="s">
        <v>100</v>
      </c>
      <c r="BV46" s="11">
        <v>0</v>
      </c>
      <c r="BW46" s="12">
        <v>0</v>
      </c>
      <c r="BX46" s="151">
        <f t="shared" si="124"/>
        <v>0</v>
      </c>
      <c r="BY46" s="152"/>
      <c r="CA46" s="9" t="s">
        <v>130</v>
      </c>
      <c r="CB46" s="13" t="s">
        <v>100</v>
      </c>
      <c r="CC46" s="11">
        <v>1600000</v>
      </c>
      <c r="CD46" s="12">
        <f t="shared" si="125"/>
        <v>304000</v>
      </c>
      <c r="CE46" s="99">
        <f t="shared" si="126"/>
        <v>1904000</v>
      </c>
      <c r="CF46" s="100"/>
      <c r="CH46" s="9" t="s">
        <v>130</v>
      </c>
      <c r="CI46" s="13" t="s">
        <v>100</v>
      </c>
      <c r="CJ46" s="11">
        <v>2720000</v>
      </c>
      <c r="CK46" s="12">
        <v>0</v>
      </c>
      <c r="CL46" s="99">
        <f>CJ46+CK46</f>
        <v>2720000</v>
      </c>
      <c r="CM46" s="100"/>
      <c r="CO46" s="9" t="s">
        <v>244</v>
      </c>
      <c r="CP46" s="13" t="s">
        <v>215</v>
      </c>
      <c r="CQ46" s="11">
        <v>4000000</v>
      </c>
      <c r="CR46" s="12" t="s">
        <v>211</v>
      </c>
      <c r="CS46" s="99">
        <v>4000000</v>
      </c>
      <c r="CT46" s="100"/>
      <c r="CV46" s="54" t="s">
        <v>130</v>
      </c>
      <c r="CW46" s="58" t="s">
        <v>100</v>
      </c>
      <c r="CX46" s="56">
        <v>3000000</v>
      </c>
      <c r="CY46" s="57">
        <v>0</v>
      </c>
      <c r="CZ46" s="93">
        <f t="shared" si="116"/>
        <v>3000000</v>
      </c>
      <c r="DA46" s="94"/>
      <c r="DC46" s="9" t="s">
        <v>130</v>
      </c>
      <c r="DD46" s="13" t="s">
        <v>100</v>
      </c>
      <c r="DE46" s="11">
        <v>943888.88888888841</v>
      </c>
      <c r="DF46" s="12">
        <f>DE46*0.19</f>
        <v>179338.88888888879</v>
      </c>
      <c r="DG46" s="99">
        <f t="shared" si="127"/>
        <v>1123227.7777777773</v>
      </c>
      <c r="DH46" s="100"/>
      <c r="DJ46" s="70" t="s">
        <v>130</v>
      </c>
      <c r="DK46" s="71" t="s">
        <v>100</v>
      </c>
      <c r="DL46" s="72">
        <f t="shared" ref="DL46:DL47" si="128">+MAX(F46,M46,T46,AA46,AH46,AO46,AV46,BC46,BJ46,BQ46,CE46,CL46,CS46,CZ46,DG46)</f>
        <v>5800000</v>
      </c>
      <c r="DM46" s="72">
        <f t="shared" ref="DM46:DM47" si="129">+MIN(F46,M46,T46,AA46,AH46,AO46,AV46,BC46,BJ46,BQ46,CE46,CL46,CS46,CZ46,DG46)</f>
        <v>724500</v>
      </c>
      <c r="DN46" s="72">
        <f t="shared" ref="DN46:DN47" si="130">+AVERAGE(F46,M46,T46,AA46,AH46,AO46,AV46,BC46,BJ46,BQ46,CE46,CL46,CS46,CZ46,DG46)</f>
        <v>2630881.8707590946</v>
      </c>
      <c r="DO46" s="72">
        <f>+TRIMMEAN((F46,M46,T46,AA46,AH46,AO46,AV46,BC46,BJ46,BQ46,CE46,CL46,CS46,CZ46,DG46),(2/15))</f>
        <v>2533748.3124143402</v>
      </c>
      <c r="DP46" s="72">
        <f t="shared" ref="DP46:DP47" si="131">+MEDIAN(F46,M46,T46,AA46,AH46,AO46,AV46,BC46,BJ46,BQ46,CE46,CL46,CS46,CZ46,DG46)</f>
        <v>2470000</v>
      </c>
      <c r="DQ46" s="86" t="str">
        <f t="shared" ref="DQ46:DQ47" si="132">IFERROR(MODE(F46,M46,T46,AA46,AH46,AO46,AV46,BC46,BJ46,BQ46,CE46,CL46,CS46,CZ46,DG46),"N/A")</f>
        <v>N/A</v>
      </c>
      <c r="DR46" s="88">
        <f>+STDEV(F46,M46,T46,AA46,AH46,AO46,AV46,BC46,BJ46,BQ46,CE46,CL46,CS46,CZ46,DG46)/DN46</f>
        <v>0.51347278281651543</v>
      </c>
      <c r="DS46" t="s">
        <v>176</v>
      </c>
      <c r="DT46" t="s">
        <v>165</v>
      </c>
    </row>
    <row r="47" spans="1:124" ht="17" customHeight="1" thickBot="1" x14ac:dyDescent="0.25">
      <c r="A47" s="169"/>
      <c r="B47" s="9" t="s">
        <v>131</v>
      </c>
      <c r="C47" s="14" t="s">
        <v>102</v>
      </c>
      <c r="D47" s="11">
        <v>1854000</v>
      </c>
      <c r="E47" s="12">
        <f t="shared" si="117"/>
        <v>352260</v>
      </c>
      <c r="F47" s="99">
        <f t="shared" si="118"/>
        <v>2206260</v>
      </c>
      <c r="G47" s="100"/>
      <c r="I47" s="9" t="s">
        <v>131</v>
      </c>
      <c r="J47" s="14" t="s">
        <v>102</v>
      </c>
      <c r="K47" s="11">
        <f>+K44*97%</f>
        <v>2471560</v>
      </c>
      <c r="L47" s="12">
        <v>0</v>
      </c>
      <c r="M47" s="99">
        <f t="shared" si="119"/>
        <v>2471560</v>
      </c>
      <c r="N47" s="100"/>
      <c r="P47" s="9" t="s">
        <v>131</v>
      </c>
      <c r="Q47" s="14" t="s">
        <v>102</v>
      </c>
      <c r="R47" s="11">
        <v>2400000</v>
      </c>
      <c r="S47" s="12">
        <v>0</v>
      </c>
      <c r="T47" s="155">
        <f>+R47+S47</f>
        <v>2400000</v>
      </c>
      <c r="U47" s="156"/>
      <c r="W47" s="9" t="s">
        <v>131</v>
      </c>
      <c r="X47" s="14" t="s">
        <v>102</v>
      </c>
      <c r="Y47" s="11">
        <v>1627012</v>
      </c>
      <c r="Z47" s="12">
        <v>0</v>
      </c>
      <c r="AA47" s="114">
        <f t="shared" si="120"/>
        <v>1627012</v>
      </c>
      <c r="AB47" s="115"/>
      <c r="AD47" s="9" t="s">
        <v>131</v>
      </c>
      <c r="AE47" s="14" t="s">
        <v>102</v>
      </c>
      <c r="AF47" s="11">
        <v>1534200</v>
      </c>
      <c r="AG47" s="12">
        <v>0</v>
      </c>
      <c r="AH47" s="99">
        <f t="shared" si="121"/>
        <v>1534200</v>
      </c>
      <c r="AI47" s="100"/>
      <c r="AK47" s="9" t="s">
        <v>131</v>
      </c>
      <c r="AL47" s="14" t="s">
        <v>102</v>
      </c>
      <c r="AM47" s="11">
        <v>1449000000</v>
      </c>
      <c r="AN47" s="12">
        <v>0</v>
      </c>
      <c r="AO47" s="114">
        <f>+AM47/2001</f>
        <v>724137.93103448278</v>
      </c>
      <c r="AP47" s="115"/>
      <c r="AR47" s="9" t="s">
        <v>131</v>
      </c>
      <c r="AS47" s="14" t="s">
        <v>102</v>
      </c>
      <c r="AT47" s="11">
        <v>1587544.1085525118</v>
      </c>
      <c r="AU47" s="12">
        <v>0</v>
      </c>
      <c r="AV47" s="114">
        <f t="shared" si="122"/>
        <v>1587544.1085525118</v>
      </c>
      <c r="AW47" s="115"/>
      <c r="AY47" s="54" t="s">
        <v>131</v>
      </c>
      <c r="AZ47" s="59" t="s">
        <v>102</v>
      </c>
      <c r="BA47" s="56">
        <v>3865597</v>
      </c>
      <c r="BB47" s="57">
        <v>0</v>
      </c>
      <c r="BC47" s="93">
        <f t="shared" si="114"/>
        <v>3865597</v>
      </c>
      <c r="BD47" s="94"/>
      <c r="BF47" s="34" t="s">
        <v>131</v>
      </c>
      <c r="BG47" s="39" t="s">
        <v>102</v>
      </c>
      <c r="BH47" s="36">
        <v>5700000</v>
      </c>
      <c r="BI47" s="37">
        <v>0</v>
      </c>
      <c r="BJ47" s="142">
        <f t="shared" si="123"/>
        <v>5700000</v>
      </c>
      <c r="BK47" s="143"/>
      <c r="BM47" s="54" t="s">
        <v>131</v>
      </c>
      <c r="BN47" s="59" t="s">
        <v>102</v>
      </c>
      <c r="BO47" s="56">
        <v>4005731.8942209324</v>
      </c>
      <c r="BP47" s="57">
        <v>0</v>
      </c>
      <c r="BQ47" s="93">
        <f t="shared" si="115"/>
        <v>4005731.8942209324</v>
      </c>
      <c r="BR47" s="94"/>
      <c r="BT47" s="9" t="s">
        <v>131</v>
      </c>
      <c r="BU47" s="14" t="s">
        <v>102</v>
      </c>
      <c r="BV47" s="11">
        <v>0</v>
      </c>
      <c r="BW47" s="12">
        <v>0</v>
      </c>
      <c r="BX47" s="151">
        <f t="shared" si="124"/>
        <v>0</v>
      </c>
      <c r="BY47" s="152"/>
      <c r="CA47" s="9" t="s">
        <v>131</v>
      </c>
      <c r="CB47" s="14" t="s">
        <v>102</v>
      </c>
      <c r="CC47" s="11">
        <v>1500000</v>
      </c>
      <c r="CD47" s="12">
        <f t="shared" si="125"/>
        <v>285000</v>
      </c>
      <c r="CE47" s="99">
        <f t="shared" si="126"/>
        <v>1785000</v>
      </c>
      <c r="CF47" s="100"/>
      <c r="CH47" s="9" t="s">
        <v>131</v>
      </c>
      <c r="CI47" s="14" t="s">
        <v>102</v>
      </c>
      <c r="CJ47" s="11">
        <v>2700000</v>
      </c>
      <c r="CK47" s="12">
        <v>0</v>
      </c>
      <c r="CL47" s="99">
        <f>CJ47+CK47</f>
        <v>2700000</v>
      </c>
      <c r="CM47" s="100"/>
      <c r="CO47" s="9" t="s">
        <v>245</v>
      </c>
      <c r="CP47" s="14" t="s">
        <v>217</v>
      </c>
      <c r="CQ47" s="11">
        <v>3800000</v>
      </c>
      <c r="CR47" s="12" t="s">
        <v>211</v>
      </c>
      <c r="CS47" s="99">
        <v>3800000</v>
      </c>
      <c r="CT47" s="100"/>
      <c r="CV47" s="54" t="s">
        <v>131</v>
      </c>
      <c r="CW47" s="59" t="s">
        <v>102</v>
      </c>
      <c r="CX47" s="56">
        <v>3000000</v>
      </c>
      <c r="CY47" s="57">
        <v>0</v>
      </c>
      <c r="CZ47" s="93">
        <f t="shared" si="116"/>
        <v>3000000</v>
      </c>
      <c r="DA47" s="94"/>
      <c r="DC47" s="9" t="s">
        <v>131</v>
      </c>
      <c r="DD47" s="14" t="s">
        <v>102</v>
      </c>
      <c r="DE47" s="11">
        <v>943888.88888888841</v>
      </c>
      <c r="DF47" s="12">
        <f>DE47*0.19</f>
        <v>179338.88888888879</v>
      </c>
      <c r="DG47" s="99">
        <f t="shared" si="127"/>
        <v>1123227.7777777773</v>
      </c>
      <c r="DH47" s="100"/>
      <c r="DJ47" s="70" t="s">
        <v>131</v>
      </c>
      <c r="DK47" s="71" t="s">
        <v>102</v>
      </c>
      <c r="DL47" s="72">
        <f t="shared" si="128"/>
        <v>5700000</v>
      </c>
      <c r="DM47" s="72">
        <f t="shared" si="129"/>
        <v>724137.93103448278</v>
      </c>
      <c r="DN47" s="72">
        <f t="shared" si="130"/>
        <v>2568684.7141057132</v>
      </c>
      <c r="DO47" s="72">
        <f>+TRIMMEAN((F47,M47,T47,AA47,AH47,AO47,AV47,BC47,BJ47,BQ47,CE47,CL47,CS47,CZ47,DG47),(2/15))</f>
        <v>2469702.5215808633</v>
      </c>
      <c r="DP47" s="72">
        <f t="shared" si="131"/>
        <v>2400000</v>
      </c>
      <c r="DQ47" s="86" t="str">
        <f t="shared" si="132"/>
        <v>N/A</v>
      </c>
      <c r="DR47" s="88">
        <f>+STDEV(F47,M47,T47,AA47,AH47,AO47,AV47,BC47,BJ47,BQ47,CE47,CL47,CS47,CZ47,DG47)/DN47</f>
        <v>0.5146466324232013</v>
      </c>
      <c r="DS47" t="s">
        <v>176</v>
      </c>
      <c r="DT47" t="s">
        <v>165</v>
      </c>
    </row>
    <row r="48" spans="1:124" ht="46" thickBot="1" x14ac:dyDescent="0.25">
      <c r="A48" s="1" t="s">
        <v>126</v>
      </c>
      <c r="B48" s="103" t="s">
        <v>127</v>
      </c>
      <c r="C48" s="104"/>
      <c r="D48" s="104"/>
      <c r="E48" s="105"/>
      <c r="F48" s="18" t="s">
        <v>3</v>
      </c>
      <c r="G48" s="19" t="s">
        <v>27</v>
      </c>
      <c r="I48" s="103" t="s">
        <v>127</v>
      </c>
      <c r="J48" s="104"/>
      <c r="K48" s="104"/>
      <c r="L48" s="105"/>
      <c r="M48" s="18" t="s">
        <v>3</v>
      </c>
      <c r="N48" s="19" t="s">
        <v>27</v>
      </c>
      <c r="P48" s="15" t="s">
        <v>127</v>
      </c>
      <c r="Q48" s="16"/>
      <c r="R48" s="16"/>
      <c r="S48" s="17"/>
      <c r="T48" s="18" t="s">
        <v>3</v>
      </c>
      <c r="U48" s="19" t="s">
        <v>27</v>
      </c>
      <c r="W48" s="103" t="s">
        <v>127</v>
      </c>
      <c r="X48" s="104"/>
      <c r="Y48" s="104"/>
      <c r="Z48" s="105"/>
      <c r="AA48" s="18" t="s">
        <v>3</v>
      </c>
      <c r="AB48" s="19" t="s">
        <v>27</v>
      </c>
      <c r="AD48" s="103" t="s">
        <v>127</v>
      </c>
      <c r="AE48" s="104"/>
      <c r="AF48" s="104"/>
      <c r="AG48" s="105"/>
      <c r="AH48" s="18" t="s">
        <v>3</v>
      </c>
      <c r="AI48" s="19" t="s">
        <v>27</v>
      </c>
      <c r="AK48" s="103" t="s">
        <v>127</v>
      </c>
      <c r="AL48" s="104"/>
      <c r="AM48" s="104"/>
      <c r="AN48" s="105"/>
      <c r="AO48" s="18" t="s">
        <v>3</v>
      </c>
      <c r="AP48" s="19" t="s">
        <v>27</v>
      </c>
      <c r="AR48" s="103" t="s">
        <v>127</v>
      </c>
      <c r="AS48" s="104"/>
      <c r="AT48" s="104"/>
      <c r="AU48" s="105"/>
      <c r="AV48" s="18" t="s">
        <v>3</v>
      </c>
      <c r="AW48" s="19" t="s">
        <v>27</v>
      </c>
      <c r="AY48" s="95" t="s">
        <v>127</v>
      </c>
      <c r="AZ48" s="96"/>
      <c r="BA48" s="96"/>
      <c r="BB48" s="97"/>
      <c r="BC48" s="60" t="s">
        <v>3</v>
      </c>
      <c r="BD48" s="61" t="s">
        <v>27</v>
      </c>
      <c r="BF48" s="144"/>
      <c r="BG48" s="145"/>
      <c r="BH48" s="145"/>
      <c r="BI48" s="146"/>
      <c r="BJ48" s="40" t="s">
        <v>3</v>
      </c>
      <c r="BK48" s="41" t="s">
        <v>27</v>
      </c>
      <c r="BM48" s="95" t="s">
        <v>127</v>
      </c>
      <c r="BN48" s="96"/>
      <c r="BO48" s="96"/>
      <c r="BP48" s="97"/>
      <c r="BQ48" s="60" t="s">
        <v>3</v>
      </c>
      <c r="BR48" s="61" t="s">
        <v>27</v>
      </c>
      <c r="BT48" s="103" t="s">
        <v>127</v>
      </c>
      <c r="BU48" s="104"/>
      <c r="BV48" s="104"/>
      <c r="BW48" s="105"/>
      <c r="BX48" s="18" t="s">
        <v>3</v>
      </c>
      <c r="BY48" s="19" t="s">
        <v>27</v>
      </c>
      <c r="CA48" s="103" t="s">
        <v>127</v>
      </c>
      <c r="CB48" s="104"/>
      <c r="CC48" s="104"/>
      <c r="CD48" s="105"/>
      <c r="CE48" s="18" t="s">
        <v>3</v>
      </c>
      <c r="CF48" s="19" t="s">
        <v>27</v>
      </c>
      <c r="CH48" s="103" t="s">
        <v>127</v>
      </c>
      <c r="CI48" s="104"/>
      <c r="CJ48" s="104"/>
      <c r="CK48" s="105"/>
      <c r="CL48" s="18" t="s">
        <v>3</v>
      </c>
      <c r="CM48" s="19" t="s">
        <v>27</v>
      </c>
      <c r="CO48" s="103" t="s">
        <v>241</v>
      </c>
      <c r="CP48" s="104"/>
      <c r="CQ48" s="104"/>
      <c r="CR48" s="105"/>
      <c r="CS48" s="18" t="s">
        <v>202</v>
      </c>
      <c r="CT48" s="19" t="s">
        <v>218</v>
      </c>
      <c r="CV48" s="95" t="s">
        <v>127</v>
      </c>
      <c r="CW48" s="96"/>
      <c r="CX48" s="96"/>
      <c r="CY48" s="97"/>
      <c r="CZ48" s="60" t="s">
        <v>3</v>
      </c>
      <c r="DA48" s="61" t="s">
        <v>27</v>
      </c>
      <c r="DC48" s="103" t="s">
        <v>127</v>
      </c>
      <c r="DD48" s="104"/>
      <c r="DE48" s="104"/>
      <c r="DF48" s="105"/>
      <c r="DG48" s="18" t="s">
        <v>3</v>
      </c>
      <c r="DH48" s="19" t="s">
        <v>27</v>
      </c>
    </row>
    <row r="49" spans="1:124" ht="46" thickBot="1" x14ac:dyDescent="0.25">
      <c r="A49" s="3" t="s">
        <v>5</v>
      </c>
      <c r="B49" s="20" t="s">
        <v>6</v>
      </c>
      <c r="C49" s="20" t="s">
        <v>7</v>
      </c>
      <c r="D49" s="20" t="s">
        <v>8</v>
      </c>
      <c r="E49" s="21" t="s">
        <v>9</v>
      </c>
      <c r="F49" s="106" t="s">
        <v>21</v>
      </c>
      <c r="G49" s="107"/>
      <c r="I49" s="20" t="s">
        <v>6</v>
      </c>
      <c r="J49" s="20" t="s">
        <v>7</v>
      </c>
      <c r="K49" s="20" t="s">
        <v>8</v>
      </c>
      <c r="L49" s="21" t="s">
        <v>9</v>
      </c>
      <c r="M49" s="106" t="s">
        <v>21</v>
      </c>
      <c r="N49" s="107"/>
      <c r="P49" s="20" t="s">
        <v>6</v>
      </c>
      <c r="Q49" s="20" t="s">
        <v>7</v>
      </c>
      <c r="R49" s="20" t="s">
        <v>8</v>
      </c>
      <c r="S49" s="21" t="s">
        <v>9</v>
      </c>
      <c r="T49" s="22" t="s">
        <v>21</v>
      </c>
      <c r="U49" s="23"/>
      <c r="W49" s="20" t="s">
        <v>6</v>
      </c>
      <c r="X49" s="20" t="s">
        <v>7</v>
      </c>
      <c r="Y49" s="20" t="s">
        <v>8</v>
      </c>
      <c r="Z49" s="21" t="s">
        <v>9</v>
      </c>
      <c r="AA49" s="106" t="s">
        <v>21</v>
      </c>
      <c r="AB49" s="107"/>
      <c r="AD49" s="20" t="s">
        <v>6</v>
      </c>
      <c r="AE49" s="20" t="s">
        <v>7</v>
      </c>
      <c r="AF49" s="20" t="s">
        <v>8</v>
      </c>
      <c r="AG49" s="21" t="s">
        <v>9</v>
      </c>
      <c r="AH49" s="106" t="s">
        <v>21</v>
      </c>
      <c r="AI49" s="107"/>
      <c r="AK49" s="20" t="s">
        <v>6</v>
      </c>
      <c r="AL49" s="20" t="s">
        <v>7</v>
      </c>
      <c r="AM49" s="20" t="s">
        <v>8</v>
      </c>
      <c r="AN49" s="21" t="s">
        <v>9</v>
      </c>
      <c r="AO49" s="106" t="s">
        <v>21</v>
      </c>
      <c r="AP49" s="107"/>
      <c r="AR49" s="20" t="s">
        <v>6</v>
      </c>
      <c r="AS49" s="20" t="s">
        <v>7</v>
      </c>
      <c r="AT49" s="20" t="s">
        <v>8</v>
      </c>
      <c r="AU49" s="21" t="s">
        <v>9</v>
      </c>
      <c r="AV49" s="106" t="s">
        <v>21</v>
      </c>
      <c r="AW49" s="107"/>
      <c r="AY49" s="52" t="s">
        <v>6</v>
      </c>
      <c r="AZ49" s="52" t="s">
        <v>7</v>
      </c>
      <c r="BA49" s="52" t="s">
        <v>8</v>
      </c>
      <c r="BB49" s="53" t="s">
        <v>9</v>
      </c>
      <c r="BC49" s="98" t="s">
        <v>21</v>
      </c>
      <c r="BD49" s="97"/>
      <c r="BF49" s="42" t="s">
        <v>6</v>
      </c>
      <c r="BG49" s="42" t="s">
        <v>7</v>
      </c>
      <c r="BH49" s="42" t="s">
        <v>8</v>
      </c>
      <c r="BI49" s="43" t="s">
        <v>9</v>
      </c>
      <c r="BJ49" s="147" t="s">
        <v>21</v>
      </c>
      <c r="BK49" s="148"/>
      <c r="BM49" s="52" t="s">
        <v>6</v>
      </c>
      <c r="BN49" s="52" t="s">
        <v>7</v>
      </c>
      <c r="BO49" s="52" t="s">
        <v>8</v>
      </c>
      <c r="BP49" s="53" t="s">
        <v>9</v>
      </c>
      <c r="BQ49" s="98" t="s">
        <v>21</v>
      </c>
      <c r="BR49" s="97"/>
      <c r="BT49" s="20" t="s">
        <v>6</v>
      </c>
      <c r="BU49" s="20" t="s">
        <v>7</v>
      </c>
      <c r="BV49" s="20" t="s">
        <v>8</v>
      </c>
      <c r="BW49" s="21" t="s">
        <v>9</v>
      </c>
      <c r="BX49" s="106" t="s">
        <v>21</v>
      </c>
      <c r="BY49" s="107"/>
      <c r="CA49" s="20" t="s">
        <v>6</v>
      </c>
      <c r="CB49" s="20" t="s">
        <v>7</v>
      </c>
      <c r="CC49" s="20" t="s">
        <v>8</v>
      </c>
      <c r="CD49" s="21" t="s">
        <v>9</v>
      </c>
      <c r="CE49" s="106" t="s">
        <v>21</v>
      </c>
      <c r="CF49" s="107"/>
      <c r="CH49" s="20" t="s">
        <v>6</v>
      </c>
      <c r="CI49" s="20" t="s">
        <v>7</v>
      </c>
      <c r="CJ49" s="20" t="s">
        <v>8</v>
      </c>
      <c r="CK49" s="21" t="s">
        <v>9</v>
      </c>
      <c r="CL49" s="106" t="s">
        <v>21</v>
      </c>
      <c r="CM49" s="107"/>
      <c r="CO49" s="20" t="s">
        <v>204</v>
      </c>
      <c r="CP49" s="20" t="s">
        <v>205</v>
      </c>
      <c r="CQ49" s="20" t="s">
        <v>206</v>
      </c>
      <c r="CR49" s="21" t="s">
        <v>207</v>
      </c>
      <c r="CS49" s="106" t="s">
        <v>208</v>
      </c>
      <c r="CT49" s="107"/>
      <c r="CV49" s="52" t="s">
        <v>6</v>
      </c>
      <c r="CW49" s="52" t="s">
        <v>7</v>
      </c>
      <c r="CX49" s="52" t="s">
        <v>8</v>
      </c>
      <c r="CY49" s="53" t="s">
        <v>9</v>
      </c>
      <c r="CZ49" s="98" t="s">
        <v>21</v>
      </c>
      <c r="DA49" s="97"/>
      <c r="DC49" s="20" t="s">
        <v>6</v>
      </c>
      <c r="DD49" s="20" t="s">
        <v>7</v>
      </c>
      <c r="DE49" s="20" t="s">
        <v>8</v>
      </c>
      <c r="DF49" s="21" t="s">
        <v>9</v>
      </c>
      <c r="DG49" s="106" t="s">
        <v>21</v>
      </c>
      <c r="DH49" s="107"/>
      <c r="DJ49" s="68" t="s">
        <v>6</v>
      </c>
      <c r="DK49" s="68" t="s">
        <v>7</v>
      </c>
      <c r="DL49" s="69" t="s">
        <v>268</v>
      </c>
      <c r="DM49" s="69" t="s">
        <v>269</v>
      </c>
      <c r="DN49" s="69" t="s">
        <v>270</v>
      </c>
      <c r="DO49" s="69" t="s">
        <v>273</v>
      </c>
      <c r="DP49" s="69" t="s">
        <v>271</v>
      </c>
      <c r="DQ49" s="69" t="s">
        <v>272</v>
      </c>
      <c r="DS49" s="92" t="s">
        <v>291</v>
      </c>
      <c r="DT49" s="92" t="s">
        <v>292</v>
      </c>
    </row>
    <row r="50" spans="1:124" ht="17" thickBot="1" x14ac:dyDescent="0.25">
      <c r="A50" s="167" t="s">
        <v>94</v>
      </c>
      <c r="B50" s="9" t="s">
        <v>132</v>
      </c>
      <c r="C50" s="10" t="s">
        <v>96</v>
      </c>
      <c r="D50" s="11">
        <v>3210000</v>
      </c>
      <c r="E50" s="12">
        <f>(D50*19)/100</f>
        <v>609900</v>
      </c>
      <c r="F50" s="99">
        <f t="shared" ref="F50:F53" si="133">D50+E50</f>
        <v>3819900</v>
      </c>
      <c r="G50" s="100"/>
      <c r="I50" s="9" t="s">
        <v>132</v>
      </c>
      <c r="J50" s="10" t="s">
        <v>96</v>
      </c>
      <c r="K50" s="11">
        <v>2662660</v>
      </c>
      <c r="L50" s="12">
        <v>0</v>
      </c>
      <c r="M50" s="99">
        <f t="shared" ref="M50:M53" si="134">K50+L50</f>
        <v>2662660</v>
      </c>
      <c r="N50" s="100"/>
      <c r="P50" s="9" t="s">
        <v>132</v>
      </c>
      <c r="Q50" s="10" t="s">
        <v>96</v>
      </c>
      <c r="R50" s="11">
        <v>2650000</v>
      </c>
      <c r="S50" s="12">
        <v>0</v>
      </c>
      <c r="T50" s="155">
        <f>+R50+S50</f>
        <v>2650000</v>
      </c>
      <c r="U50" s="156"/>
      <c r="W50" s="9" t="s">
        <v>132</v>
      </c>
      <c r="X50" s="10" t="s">
        <v>96</v>
      </c>
      <c r="Y50" s="11">
        <v>1900000</v>
      </c>
      <c r="Z50" s="12">
        <v>0</v>
      </c>
      <c r="AA50" s="114">
        <f t="shared" ref="AA50:AA53" si="135">Y50+Z50</f>
        <v>1900000</v>
      </c>
      <c r="AB50" s="115"/>
      <c r="AD50" s="9" t="s">
        <v>132</v>
      </c>
      <c r="AE50" s="10" t="s">
        <v>96</v>
      </c>
      <c r="AF50" s="11">
        <v>1730400</v>
      </c>
      <c r="AG50" s="12">
        <v>0</v>
      </c>
      <c r="AH50" s="99">
        <f t="shared" ref="AH50:AH53" si="136">AF50+AG50</f>
        <v>1730400</v>
      </c>
      <c r="AI50" s="100"/>
      <c r="AK50" s="9" t="s">
        <v>132</v>
      </c>
      <c r="AL50" s="10" t="s">
        <v>96</v>
      </c>
      <c r="AM50" s="11">
        <v>770700000</v>
      </c>
      <c r="AN50" s="12">
        <v>0</v>
      </c>
      <c r="AO50" s="114">
        <f>+AM50/700</f>
        <v>1101000</v>
      </c>
      <c r="AP50" s="115"/>
      <c r="AR50" s="9" t="s">
        <v>132</v>
      </c>
      <c r="AS50" s="10" t="s">
        <v>96</v>
      </c>
      <c r="AT50" s="11">
        <v>1683425.4854056835</v>
      </c>
      <c r="AU50" s="12">
        <v>0</v>
      </c>
      <c r="AV50" s="114">
        <f t="shared" ref="AV50:AV53" si="137">AT50+AU50</f>
        <v>1683425.4854056835</v>
      </c>
      <c r="AW50" s="115"/>
      <c r="AY50" s="54" t="s">
        <v>132</v>
      </c>
      <c r="AZ50" s="55" t="s">
        <v>96</v>
      </c>
      <c r="BA50" s="56">
        <v>3592888</v>
      </c>
      <c r="BB50" s="57">
        <v>0</v>
      </c>
      <c r="BC50" s="93">
        <f t="shared" ref="BC50:BC53" si="138">BA50+BB50</f>
        <v>3592888</v>
      </c>
      <c r="BD50" s="94"/>
      <c r="BF50" s="34" t="s">
        <v>132</v>
      </c>
      <c r="BG50" s="35" t="s">
        <v>96</v>
      </c>
      <c r="BH50" s="36">
        <v>6790000</v>
      </c>
      <c r="BI50" s="37">
        <v>0</v>
      </c>
      <c r="BJ50" s="142">
        <f t="shared" ref="BJ50:BJ53" si="139">BH50+BI50</f>
        <v>6790000</v>
      </c>
      <c r="BK50" s="143"/>
      <c r="BM50" s="54" t="s">
        <v>132</v>
      </c>
      <c r="BN50" s="55" t="s">
        <v>96</v>
      </c>
      <c r="BO50" s="56">
        <v>3723121.9832555102</v>
      </c>
      <c r="BP50" s="57">
        <v>0</v>
      </c>
      <c r="BQ50" s="93">
        <f t="shared" ref="BQ50:BQ53" si="140">BO50+BP50</f>
        <v>3723121.9832555102</v>
      </c>
      <c r="BR50" s="94"/>
      <c r="BT50" s="9" t="s">
        <v>132</v>
      </c>
      <c r="BU50" s="10" t="s">
        <v>190</v>
      </c>
      <c r="BV50" s="11">
        <v>484985000</v>
      </c>
      <c r="BW50" s="12">
        <v>0</v>
      </c>
      <c r="BX50" s="114">
        <f>+BV50/175</f>
        <v>2771342.8571428573</v>
      </c>
      <c r="BY50" s="115"/>
      <c r="CA50" s="9" t="s">
        <v>132</v>
      </c>
      <c r="CB50" s="10" t="s">
        <v>96</v>
      </c>
      <c r="CC50" s="11">
        <v>1800000</v>
      </c>
      <c r="CD50" s="12">
        <f>CC50*0.19</f>
        <v>342000</v>
      </c>
      <c r="CE50" s="99">
        <f t="shared" ref="CE50:CE53" si="141">CC50+CD50</f>
        <v>2142000</v>
      </c>
      <c r="CF50" s="100"/>
      <c r="CH50" s="9" t="s">
        <v>132</v>
      </c>
      <c r="CI50" s="10" t="s">
        <v>96</v>
      </c>
      <c r="CJ50" s="11">
        <v>3000000</v>
      </c>
      <c r="CK50" s="12">
        <v>0</v>
      </c>
      <c r="CL50" s="99">
        <f>CJ50+CK50</f>
        <v>3000000</v>
      </c>
      <c r="CM50" s="100"/>
      <c r="CO50" s="9" t="s">
        <v>246</v>
      </c>
      <c r="CP50" s="10" t="s">
        <v>210</v>
      </c>
      <c r="CQ50" s="11">
        <v>5200000</v>
      </c>
      <c r="CR50" s="12" t="s">
        <v>211</v>
      </c>
      <c r="CS50" s="99">
        <f>+CQ50</f>
        <v>5200000</v>
      </c>
      <c r="CT50" s="100"/>
      <c r="CV50" s="54" t="s">
        <v>132</v>
      </c>
      <c r="CW50" s="55" t="s">
        <v>96</v>
      </c>
      <c r="CX50" s="56">
        <v>3000000</v>
      </c>
      <c r="CY50" s="57">
        <v>0</v>
      </c>
      <c r="CZ50" s="93">
        <f t="shared" ref="CZ50:CZ53" si="142">CX50+CY50</f>
        <v>3000000</v>
      </c>
      <c r="DA50" s="94"/>
      <c r="DC50" s="9" t="s">
        <v>132</v>
      </c>
      <c r="DD50" s="10" t="s">
        <v>96</v>
      </c>
      <c r="DE50" s="11">
        <v>2008888.8888888834</v>
      </c>
      <c r="DF50" s="12">
        <f>DE50*0.19</f>
        <v>381688.88888888783</v>
      </c>
      <c r="DG50" s="99">
        <f t="shared" ref="DG50:DG53" si="143">DE50+DF50</f>
        <v>2390577.7777777715</v>
      </c>
      <c r="DH50" s="100"/>
      <c r="DJ50" s="70" t="s">
        <v>132</v>
      </c>
      <c r="DK50" s="71" t="s">
        <v>96</v>
      </c>
      <c r="DL50" s="72">
        <f>+MAX(F50,M50,T50,AA50,AH50,AO50,AV50,BC50,BJ50,BQ50,BX50,CE50,CL50,CS50,CZ50,DG50)</f>
        <v>6790000</v>
      </c>
      <c r="DM50" s="72">
        <f>+MIN(F50,M50,T50,AA50,AH50,AO50,AV50,BC50,BJ50,BQ50,BX50,CE50,CL50,CS50,CZ50,DG50)</f>
        <v>1101000</v>
      </c>
      <c r="DN50" s="72">
        <f>+AVERAGE(F50,M50,T50,AA50,AH50,AO50,AV50,BC50,BJ50,BQ50,BX50,CE50,CL50,CS50,CZ50,DG50)</f>
        <v>3009832.256473864</v>
      </c>
      <c r="DO50" s="72">
        <f>+TRIMMEAN((F50,M50,T50,AA50,AH50,AO50,AV50,BC50,BJ50,BQ50,BX50,CE50,CL50,CS50,CZ50,DG50),(2/16))</f>
        <v>2876165.4359701304</v>
      </c>
      <c r="DP50" s="72">
        <f>+MEDIAN(F50,M50,T50,AA50,AH50,AO50,AV50,BC50,BJ50,BQ50,BX50,CE50,CL50,CS50,CZ50,DG50)</f>
        <v>2717001.4285714286</v>
      </c>
      <c r="DQ50" s="72">
        <f>IFERROR(MODE(F50,M50,T50,AA50,AH50,AO50,AV50,BC50,BJ50,BQ50,BX50,CE50,CL50,CS50,CZ50,DG50),"N/A")</f>
        <v>3000000</v>
      </c>
      <c r="DR50" s="88">
        <f>+STDEV(F50,M50,T50,AA50,AH50,AO50,AV50,BC50,BJ50,BQ50,BX50,CE50,CL50,CS50,CZ50,DG50)/DN50</f>
        <v>0.47226108925563032</v>
      </c>
      <c r="DS50" t="s">
        <v>176</v>
      </c>
      <c r="DT50" t="s">
        <v>165</v>
      </c>
    </row>
    <row r="51" spans="1:124" ht="17" thickBot="1" x14ac:dyDescent="0.25">
      <c r="A51" s="168"/>
      <c r="B51" s="9" t="s">
        <v>133</v>
      </c>
      <c r="C51" s="13" t="s">
        <v>98</v>
      </c>
      <c r="D51" s="11">
        <v>2252000</v>
      </c>
      <c r="E51" s="12">
        <f t="shared" ref="E51:E53" si="144">(D51*19)/100</f>
        <v>427880</v>
      </c>
      <c r="F51" s="99">
        <f t="shared" si="133"/>
        <v>2679880</v>
      </c>
      <c r="G51" s="100"/>
      <c r="I51" s="9" t="s">
        <v>133</v>
      </c>
      <c r="J51" s="13" t="s">
        <v>98</v>
      </c>
      <c r="K51" s="11">
        <v>2641358</v>
      </c>
      <c r="L51" s="12">
        <v>0</v>
      </c>
      <c r="M51" s="99">
        <f t="shared" si="134"/>
        <v>2641358</v>
      </c>
      <c r="N51" s="100"/>
      <c r="P51" s="9" t="s">
        <v>133</v>
      </c>
      <c r="Q51" s="13" t="s">
        <v>98</v>
      </c>
      <c r="R51" s="11">
        <v>2590000</v>
      </c>
      <c r="S51" s="12">
        <v>0</v>
      </c>
      <c r="T51" s="155">
        <f>+R51+S51</f>
        <v>2590000</v>
      </c>
      <c r="U51" s="156"/>
      <c r="W51" s="9" t="s">
        <v>133</v>
      </c>
      <c r="X51" s="13" t="s">
        <v>98</v>
      </c>
      <c r="Y51" s="11">
        <v>1085000</v>
      </c>
      <c r="Z51" s="12">
        <v>0</v>
      </c>
      <c r="AA51" s="114">
        <f t="shared" si="135"/>
        <v>1085000</v>
      </c>
      <c r="AB51" s="115"/>
      <c r="AD51" s="9" t="s">
        <v>133</v>
      </c>
      <c r="AE51" s="13" t="s">
        <v>98</v>
      </c>
      <c r="AF51" s="11">
        <v>1648600</v>
      </c>
      <c r="AG51" s="12">
        <v>0</v>
      </c>
      <c r="AH51" s="99">
        <f t="shared" si="136"/>
        <v>1648600</v>
      </c>
      <c r="AI51" s="100"/>
      <c r="AK51" s="9" t="s">
        <v>133</v>
      </c>
      <c r="AL51" s="13" t="s">
        <v>98</v>
      </c>
      <c r="AM51" s="11">
        <v>1397200000</v>
      </c>
      <c r="AN51" s="12">
        <v>0</v>
      </c>
      <c r="AO51" s="114">
        <f>+AM51/1400</f>
        <v>998000</v>
      </c>
      <c r="AP51" s="115"/>
      <c r="AR51" s="9" t="s">
        <v>133</v>
      </c>
      <c r="AS51" s="13" t="s">
        <v>98</v>
      </c>
      <c r="AT51" s="11">
        <v>1650417.1425545916</v>
      </c>
      <c r="AU51" s="12">
        <v>0</v>
      </c>
      <c r="AV51" s="114">
        <f t="shared" si="137"/>
        <v>1650417.1425545916</v>
      </c>
      <c r="AW51" s="115"/>
      <c r="AY51" s="54" t="s">
        <v>133</v>
      </c>
      <c r="AZ51" s="58" t="s">
        <v>98</v>
      </c>
      <c r="BA51" s="56">
        <v>3529874</v>
      </c>
      <c r="BB51" s="57">
        <v>0</v>
      </c>
      <c r="BC51" s="93">
        <f t="shared" si="138"/>
        <v>3529874</v>
      </c>
      <c r="BD51" s="94"/>
      <c r="BF51" s="34" t="s">
        <v>133</v>
      </c>
      <c r="BG51" s="38" t="s">
        <v>98</v>
      </c>
      <c r="BH51" s="36">
        <v>5800000</v>
      </c>
      <c r="BI51" s="37">
        <v>0</v>
      </c>
      <c r="BJ51" s="142">
        <f t="shared" si="139"/>
        <v>5800000</v>
      </c>
      <c r="BK51" s="143"/>
      <c r="BM51" s="54" t="s">
        <v>133</v>
      </c>
      <c r="BN51" s="58" t="s">
        <v>98</v>
      </c>
      <c r="BO51" s="56">
        <v>3657830.8041857891</v>
      </c>
      <c r="BP51" s="57">
        <v>0</v>
      </c>
      <c r="BQ51" s="93">
        <f t="shared" si="140"/>
        <v>3657830.8041857891</v>
      </c>
      <c r="BR51" s="94"/>
      <c r="BT51" s="9" t="s">
        <v>133</v>
      </c>
      <c r="BU51" s="13" t="s">
        <v>98</v>
      </c>
      <c r="BV51" s="11">
        <v>0</v>
      </c>
      <c r="BW51" s="12">
        <v>0</v>
      </c>
      <c r="BX51" s="151">
        <f t="shared" ref="BX51:BX53" si="145">BV51+BW51</f>
        <v>0</v>
      </c>
      <c r="BY51" s="152"/>
      <c r="CA51" s="9" t="s">
        <v>133</v>
      </c>
      <c r="CB51" s="13" t="s">
        <v>98</v>
      </c>
      <c r="CC51" s="11">
        <v>1700000</v>
      </c>
      <c r="CD51" s="12">
        <f t="shared" ref="CD51:CD53" si="146">CC51*0.19</f>
        <v>323000</v>
      </c>
      <c r="CE51" s="99">
        <f t="shared" si="141"/>
        <v>2023000</v>
      </c>
      <c r="CF51" s="100"/>
      <c r="CH51" s="9" t="s">
        <v>133</v>
      </c>
      <c r="CI51" s="13" t="s">
        <v>98</v>
      </c>
      <c r="CJ51" s="11">
        <v>2800000</v>
      </c>
      <c r="CK51" s="12">
        <v>0</v>
      </c>
      <c r="CL51" s="99">
        <f>CJ51+CK51</f>
        <v>2800000</v>
      </c>
      <c r="CM51" s="100"/>
      <c r="CO51" s="9" t="s">
        <v>247</v>
      </c>
      <c r="CP51" s="13" t="s">
        <v>213</v>
      </c>
      <c r="CQ51" s="11">
        <v>4400000</v>
      </c>
      <c r="CR51" s="12" t="s">
        <v>211</v>
      </c>
      <c r="CS51" s="99">
        <v>4400000</v>
      </c>
      <c r="CT51" s="100"/>
      <c r="CV51" s="54" t="s">
        <v>133</v>
      </c>
      <c r="CW51" s="58" t="s">
        <v>98</v>
      </c>
      <c r="CX51" s="56">
        <v>3000000</v>
      </c>
      <c r="CY51" s="57">
        <v>0</v>
      </c>
      <c r="CZ51" s="93">
        <f t="shared" si="142"/>
        <v>3000000</v>
      </c>
      <c r="DA51" s="94"/>
      <c r="DC51" s="9" t="s">
        <v>133</v>
      </c>
      <c r="DD51" s="13" t="s">
        <v>98</v>
      </c>
      <c r="DE51" s="11">
        <v>943888.88888888841</v>
      </c>
      <c r="DF51" s="12">
        <f>DE51*0.19</f>
        <v>179338.88888888879</v>
      </c>
      <c r="DG51" s="99">
        <f t="shared" si="143"/>
        <v>1123227.7777777773</v>
      </c>
      <c r="DH51" s="100"/>
      <c r="DJ51" s="70" t="s">
        <v>133</v>
      </c>
      <c r="DK51" s="71" t="s">
        <v>98</v>
      </c>
      <c r="DL51" s="72">
        <f>+MAX(F51,M51,T51,AA51,AH51,AO51,AV51,BC51,BJ51,BQ51,CE51,CL51,CS51,CZ51,DG51)</f>
        <v>5800000</v>
      </c>
      <c r="DM51" s="72">
        <f>+MIN(F51,M51,T51,AA51,AH51,AO51,AV51,BC51,BJ51,BQ51,CE51,CL51,CS51,CZ51,DG51)</f>
        <v>998000</v>
      </c>
      <c r="DN51" s="72">
        <f>+AVERAGE(F51,M51,T51,AA51,AH51,AO51,AV51,BC51,BJ51,BQ51,CE51,CL51,CS51,CZ51,DG51)</f>
        <v>2641812.514967877</v>
      </c>
      <c r="DO51" s="72">
        <f>+TRIMMEAN((F51,M51,T51,AA51,AH51,AO51,AV51,BC51,BJ51,BQ51,CE51,CL51,CS51,CZ51,DG51),(2/15))</f>
        <v>2525322.1326552429</v>
      </c>
      <c r="DP51" s="72">
        <f>+MEDIAN(F51,M51,T51,AA51,AH51,AO51,AV51,BC51,BJ51,BQ51,CE51,CL51,CS51,CZ51,DG51)</f>
        <v>2641358</v>
      </c>
      <c r="DQ51" s="86" t="str">
        <f>IFERROR(MODE(F51,M51,T51,AA51,AH51,AO51,AV51,BC51,BJ51,BQ51,CE51,CL51,CS51,CZ51,DG51),"N/A")</f>
        <v>N/A</v>
      </c>
      <c r="DR51" s="88">
        <f>+STDEV(F51,M51,T51,AA51,AH51,AO51,AV51,BC51,BJ51,BQ51,CE51,CL51,CS51,CZ51,DG51)/DN51</f>
        <v>0.50408546947071908</v>
      </c>
      <c r="DS51" t="s">
        <v>176</v>
      </c>
      <c r="DT51" t="s">
        <v>165</v>
      </c>
    </row>
    <row r="52" spans="1:124" ht="17" thickBot="1" x14ac:dyDescent="0.25">
      <c r="A52" s="168"/>
      <c r="B52" s="9" t="s">
        <v>134</v>
      </c>
      <c r="C52" s="13" t="s">
        <v>100</v>
      </c>
      <c r="D52" s="11">
        <v>1916000</v>
      </c>
      <c r="E52" s="12">
        <f t="shared" si="144"/>
        <v>364040</v>
      </c>
      <c r="F52" s="99">
        <f t="shared" si="133"/>
        <v>2280040</v>
      </c>
      <c r="G52" s="100"/>
      <c r="I52" s="9" t="s">
        <v>134</v>
      </c>
      <c r="J52" s="13" t="s">
        <v>100</v>
      </c>
      <c r="K52" s="11">
        <v>2633370</v>
      </c>
      <c r="L52" s="12">
        <v>0</v>
      </c>
      <c r="M52" s="99">
        <f t="shared" si="134"/>
        <v>2633370</v>
      </c>
      <c r="N52" s="100"/>
      <c r="P52" s="9" t="s">
        <v>134</v>
      </c>
      <c r="Q52" s="13" t="s">
        <v>100</v>
      </c>
      <c r="R52" s="11">
        <v>2470000</v>
      </c>
      <c r="S52" s="12">
        <v>0</v>
      </c>
      <c r="T52" s="155">
        <f>+R52+S52</f>
        <v>2470000</v>
      </c>
      <c r="U52" s="156"/>
      <c r="W52" s="9" t="s">
        <v>134</v>
      </c>
      <c r="X52" s="13" t="s">
        <v>100</v>
      </c>
      <c r="Y52" s="11">
        <v>1714750</v>
      </c>
      <c r="Z52" s="12">
        <v>0</v>
      </c>
      <c r="AA52" s="114">
        <f t="shared" si="135"/>
        <v>1714750</v>
      </c>
      <c r="AB52" s="115"/>
      <c r="AD52" s="9" t="s">
        <v>134</v>
      </c>
      <c r="AE52" s="13" t="s">
        <v>100</v>
      </c>
      <c r="AF52" s="11">
        <v>1566900</v>
      </c>
      <c r="AG52" s="12">
        <v>0</v>
      </c>
      <c r="AH52" s="99">
        <f t="shared" si="136"/>
        <v>1566900</v>
      </c>
      <c r="AI52" s="100"/>
      <c r="AK52" s="9" t="s">
        <v>134</v>
      </c>
      <c r="AL52" s="13" t="s">
        <v>100</v>
      </c>
      <c r="AM52" s="11">
        <v>1449000000</v>
      </c>
      <c r="AN52" s="12">
        <v>0</v>
      </c>
      <c r="AO52" s="114">
        <f>+AM52/2000</f>
        <v>724500</v>
      </c>
      <c r="AP52" s="115"/>
      <c r="AR52" s="9" t="s">
        <v>134</v>
      </c>
      <c r="AS52" s="13" t="s">
        <v>100</v>
      </c>
      <c r="AT52" s="11">
        <v>1634393.675151149</v>
      </c>
      <c r="AU52" s="12">
        <v>0</v>
      </c>
      <c r="AV52" s="114">
        <f t="shared" si="137"/>
        <v>1634393.675151149</v>
      </c>
      <c r="AW52" s="115"/>
      <c r="AY52" s="54" t="s">
        <v>134</v>
      </c>
      <c r="AZ52" s="58" t="s">
        <v>100</v>
      </c>
      <c r="BA52" s="56">
        <v>3459525</v>
      </c>
      <c r="BB52" s="57">
        <v>0</v>
      </c>
      <c r="BC52" s="93">
        <f t="shared" si="138"/>
        <v>3459525</v>
      </c>
      <c r="BD52" s="94"/>
      <c r="BF52" s="34" t="s">
        <v>134</v>
      </c>
      <c r="BG52" s="38" t="s">
        <v>100</v>
      </c>
      <c r="BH52" s="36">
        <v>5800000</v>
      </c>
      <c r="BI52" s="37">
        <v>0</v>
      </c>
      <c r="BJ52" s="142">
        <f t="shared" si="139"/>
        <v>5800000</v>
      </c>
      <c r="BK52" s="143"/>
      <c r="BM52" s="54" t="s">
        <v>134</v>
      </c>
      <c r="BN52" s="58" t="s">
        <v>100</v>
      </c>
      <c r="BO52" s="56">
        <v>3584994.5769623048</v>
      </c>
      <c r="BP52" s="57">
        <v>0</v>
      </c>
      <c r="BQ52" s="93">
        <f t="shared" si="140"/>
        <v>3584994.5769623048</v>
      </c>
      <c r="BR52" s="94"/>
      <c r="BT52" s="9" t="s">
        <v>134</v>
      </c>
      <c r="BU52" s="13" t="s">
        <v>100</v>
      </c>
      <c r="BV52" s="11">
        <v>0</v>
      </c>
      <c r="BW52" s="12">
        <v>0</v>
      </c>
      <c r="BX52" s="151">
        <f t="shared" si="145"/>
        <v>0</v>
      </c>
      <c r="BY52" s="152"/>
      <c r="CA52" s="9" t="s">
        <v>134</v>
      </c>
      <c r="CB52" s="13" t="s">
        <v>100</v>
      </c>
      <c r="CC52" s="11">
        <v>1600000</v>
      </c>
      <c r="CD52" s="12">
        <f t="shared" si="146"/>
        <v>304000</v>
      </c>
      <c r="CE52" s="99">
        <f t="shared" si="141"/>
        <v>1904000</v>
      </c>
      <c r="CF52" s="100"/>
      <c r="CH52" s="9" t="s">
        <v>134</v>
      </c>
      <c r="CI52" s="13" t="s">
        <v>100</v>
      </c>
      <c r="CJ52" s="11">
        <v>2720000</v>
      </c>
      <c r="CK52" s="12">
        <v>0</v>
      </c>
      <c r="CL52" s="99">
        <f>CJ52+CK52</f>
        <v>2720000</v>
      </c>
      <c r="CM52" s="100"/>
      <c r="CO52" s="9" t="s">
        <v>248</v>
      </c>
      <c r="CP52" s="13" t="s">
        <v>215</v>
      </c>
      <c r="CQ52" s="11">
        <v>4000000</v>
      </c>
      <c r="CR52" s="12" t="s">
        <v>211</v>
      </c>
      <c r="CS52" s="99">
        <v>4000000</v>
      </c>
      <c r="CT52" s="100"/>
      <c r="CV52" s="54" t="s">
        <v>134</v>
      </c>
      <c r="CW52" s="58" t="s">
        <v>100</v>
      </c>
      <c r="CX52" s="56">
        <v>3000000</v>
      </c>
      <c r="CY52" s="57">
        <v>0</v>
      </c>
      <c r="CZ52" s="93">
        <f t="shared" si="142"/>
        <v>3000000</v>
      </c>
      <c r="DA52" s="94"/>
      <c r="DC52" s="9" t="s">
        <v>134</v>
      </c>
      <c r="DD52" s="13" t="s">
        <v>100</v>
      </c>
      <c r="DE52" s="11">
        <v>943888.88888888841</v>
      </c>
      <c r="DF52" s="12">
        <f>DE52*0.19</f>
        <v>179338.88888888879</v>
      </c>
      <c r="DG52" s="99">
        <f t="shared" si="143"/>
        <v>1123227.7777777773</v>
      </c>
      <c r="DH52" s="100"/>
      <c r="DJ52" s="70" t="s">
        <v>134</v>
      </c>
      <c r="DK52" s="71" t="s">
        <v>100</v>
      </c>
      <c r="DL52" s="72">
        <f t="shared" ref="DL52:DL53" si="147">+MAX(F52,M52,T52,AA52,AH52,AO52,AV52,BC52,BJ52,BQ52,CE52,CL52,CS52,CZ52,DG52)</f>
        <v>5800000</v>
      </c>
      <c r="DM52" s="72">
        <f t="shared" ref="DM52:DM53" si="148">+MIN(F52,M52,T52,AA52,AH52,AO52,AV52,BC52,BJ52,BQ52,CE52,CL52,CS52,CZ52,DG52)</f>
        <v>724500</v>
      </c>
      <c r="DN52" s="72">
        <f t="shared" ref="DN52:DN53" si="149">+AVERAGE(F52,M52,T52,AA52,AH52,AO52,AV52,BC52,BJ52,BQ52,CE52,CL52,CS52,CZ52,DG52)</f>
        <v>2574380.068659415</v>
      </c>
      <c r="DO52" s="72">
        <f>+TRIMMEAN((F52,M52,T52,AA52,AH52,AO52,AV52,BC52,BJ52,BQ52,CE52,CL52,CS52,CZ52,DG52),(2/15))</f>
        <v>2468553.9253762485</v>
      </c>
      <c r="DP52" s="72">
        <f t="shared" ref="DP52:DP53" si="150">+MEDIAN(F52,M52,T52,AA52,AH52,AO52,AV52,BC52,BJ52,BQ52,CE52,CL52,CS52,CZ52,DG52)</f>
        <v>2470000</v>
      </c>
      <c r="DQ52" s="86" t="str">
        <f t="shared" ref="DQ52:DQ53" si="151">IFERROR(MODE(F52,M52,T52,AA52,AH52,AO52,AV52,BC52,BJ52,BQ52,CE52,CL52,CS52,CZ52,DG52),"N/A")</f>
        <v>N/A</v>
      </c>
      <c r="DR52" s="88">
        <f>+STDEV(F52,M52,T52,AA52,AH52,AO52,AV52,BC52,BJ52,BQ52,CE52,CL52,CS52,CZ52,DG52)/DN52</f>
        <v>0.49961245997035802</v>
      </c>
      <c r="DS52" t="s">
        <v>176</v>
      </c>
      <c r="DT52" t="s">
        <v>165</v>
      </c>
    </row>
    <row r="53" spans="1:124" ht="17" customHeight="1" thickBot="1" x14ac:dyDescent="0.25">
      <c r="A53" s="169"/>
      <c r="B53" s="9" t="s">
        <v>135</v>
      </c>
      <c r="C53" s="14" t="s">
        <v>102</v>
      </c>
      <c r="D53" s="11">
        <v>1854000</v>
      </c>
      <c r="E53" s="12">
        <f t="shared" si="144"/>
        <v>352260</v>
      </c>
      <c r="F53" s="99">
        <f t="shared" si="133"/>
        <v>2206260</v>
      </c>
      <c r="G53" s="100"/>
      <c r="I53" s="9" t="s">
        <v>135</v>
      </c>
      <c r="J53" s="14" t="s">
        <v>102</v>
      </c>
      <c r="K53" s="11">
        <v>2582780</v>
      </c>
      <c r="L53" s="12">
        <v>0</v>
      </c>
      <c r="M53" s="99">
        <f t="shared" si="134"/>
        <v>2582780</v>
      </c>
      <c r="N53" s="100"/>
      <c r="P53" s="9" t="s">
        <v>135</v>
      </c>
      <c r="Q53" s="14" t="s">
        <v>102</v>
      </c>
      <c r="R53" s="11">
        <v>2400000</v>
      </c>
      <c r="S53" s="12">
        <v>0</v>
      </c>
      <c r="T53" s="155">
        <f>+R53+S53</f>
        <v>2400000</v>
      </c>
      <c r="U53" s="156"/>
      <c r="W53" s="9" t="s">
        <v>135</v>
      </c>
      <c r="X53" s="14" t="s">
        <v>102</v>
      </c>
      <c r="Y53" s="11">
        <v>1627012</v>
      </c>
      <c r="Z53" s="12">
        <v>0</v>
      </c>
      <c r="AA53" s="114">
        <f t="shared" si="135"/>
        <v>1627012</v>
      </c>
      <c r="AB53" s="115"/>
      <c r="AD53" s="9" t="s">
        <v>135</v>
      </c>
      <c r="AE53" s="14" t="s">
        <v>102</v>
      </c>
      <c r="AF53" s="11">
        <v>1534200</v>
      </c>
      <c r="AG53" s="12">
        <v>0</v>
      </c>
      <c r="AH53" s="99">
        <f t="shared" si="136"/>
        <v>1534200</v>
      </c>
      <c r="AI53" s="100"/>
      <c r="AK53" s="9" t="s">
        <v>135</v>
      </c>
      <c r="AL53" s="14" t="s">
        <v>102</v>
      </c>
      <c r="AM53" s="11">
        <v>1449000000</v>
      </c>
      <c r="AN53" s="12">
        <v>0</v>
      </c>
      <c r="AO53" s="114">
        <f>+AM53/2001</f>
        <v>724137.93103448278</v>
      </c>
      <c r="AP53" s="115"/>
      <c r="AR53" s="9" t="s">
        <v>135</v>
      </c>
      <c r="AS53" s="14" t="s">
        <v>102</v>
      </c>
      <c r="AT53" s="11">
        <v>1618678.3513516188</v>
      </c>
      <c r="AU53" s="12">
        <v>0</v>
      </c>
      <c r="AV53" s="114">
        <f t="shared" si="137"/>
        <v>1618678.3513516188</v>
      </c>
      <c r="AW53" s="115"/>
      <c r="AY53" s="54" t="s">
        <v>135</v>
      </c>
      <c r="AZ53" s="59" t="s">
        <v>102</v>
      </c>
      <c r="BA53" s="56">
        <v>3373447</v>
      </c>
      <c r="BB53" s="57">
        <v>0</v>
      </c>
      <c r="BC53" s="93">
        <f t="shared" si="138"/>
        <v>3373447</v>
      </c>
      <c r="BD53" s="94"/>
      <c r="BF53" s="34" t="s">
        <v>135</v>
      </c>
      <c r="BG53" s="39" t="s">
        <v>102</v>
      </c>
      <c r="BH53" s="36">
        <v>5700000</v>
      </c>
      <c r="BI53" s="37">
        <v>0</v>
      </c>
      <c r="BJ53" s="142">
        <f t="shared" si="139"/>
        <v>5700000</v>
      </c>
      <c r="BK53" s="143"/>
      <c r="BM53" s="54" t="s">
        <v>135</v>
      </c>
      <c r="BN53" s="59" t="s">
        <v>102</v>
      </c>
      <c r="BO53" s="56">
        <v>3495730.8474536585</v>
      </c>
      <c r="BP53" s="57">
        <v>0</v>
      </c>
      <c r="BQ53" s="93">
        <f t="shared" si="140"/>
        <v>3495730.8474536585</v>
      </c>
      <c r="BR53" s="94"/>
      <c r="BT53" s="9" t="s">
        <v>135</v>
      </c>
      <c r="BU53" s="14" t="s">
        <v>102</v>
      </c>
      <c r="BV53" s="11">
        <v>0</v>
      </c>
      <c r="BW53" s="12">
        <v>0</v>
      </c>
      <c r="BX53" s="151">
        <f t="shared" si="145"/>
        <v>0</v>
      </c>
      <c r="BY53" s="152"/>
      <c r="CA53" s="9" t="s">
        <v>135</v>
      </c>
      <c r="CB53" s="14" t="s">
        <v>102</v>
      </c>
      <c r="CC53" s="11">
        <v>1500000</v>
      </c>
      <c r="CD53" s="12">
        <f t="shared" si="146"/>
        <v>285000</v>
      </c>
      <c r="CE53" s="99">
        <f t="shared" si="141"/>
        <v>1785000</v>
      </c>
      <c r="CF53" s="100"/>
      <c r="CH53" s="9" t="s">
        <v>135</v>
      </c>
      <c r="CI53" s="14" t="s">
        <v>102</v>
      </c>
      <c r="CJ53" s="11">
        <v>2700000</v>
      </c>
      <c r="CK53" s="12">
        <v>0</v>
      </c>
      <c r="CL53" s="99">
        <f>CJ53+CK53</f>
        <v>2700000</v>
      </c>
      <c r="CM53" s="100"/>
      <c r="CO53" s="9" t="s">
        <v>249</v>
      </c>
      <c r="CP53" s="14" t="s">
        <v>217</v>
      </c>
      <c r="CQ53" s="11">
        <v>3800000</v>
      </c>
      <c r="CR53" s="12" t="s">
        <v>211</v>
      </c>
      <c r="CS53" s="99">
        <v>3800000</v>
      </c>
      <c r="CT53" s="100"/>
      <c r="CV53" s="54" t="s">
        <v>135</v>
      </c>
      <c r="CW53" s="59" t="s">
        <v>102</v>
      </c>
      <c r="CX53" s="56">
        <v>3000000</v>
      </c>
      <c r="CY53" s="57">
        <v>0</v>
      </c>
      <c r="CZ53" s="93">
        <f t="shared" si="142"/>
        <v>3000000</v>
      </c>
      <c r="DA53" s="94"/>
      <c r="DC53" s="9" t="s">
        <v>135</v>
      </c>
      <c r="DD53" s="14" t="s">
        <v>102</v>
      </c>
      <c r="DE53" s="11">
        <v>943888.88888888841</v>
      </c>
      <c r="DF53" s="12">
        <f>DE53*0.19</f>
        <v>179338.88888888879</v>
      </c>
      <c r="DG53" s="99">
        <f t="shared" si="143"/>
        <v>1123227.7777777773</v>
      </c>
      <c r="DH53" s="100"/>
      <c r="DJ53" s="70" t="s">
        <v>135</v>
      </c>
      <c r="DK53" s="71" t="s">
        <v>102</v>
      </c>
      <c r="DL53" s="72">
        <f t="shared" si="147"/>
        <v>5700000</v>
      </c>
      <c r="DM53" s="72">
        <f t="shared" si="148"/>
        <v>724137.93103448278</v>
      </c>
      <c r="DN53" s="72">
        <f t="shared" si="149"/>
        <v>2511364.9271745025</v>
      </c>
      <c r="DO53" s="72">
        <f>+TRIMMEAN((F53,M53,T53,AA53,AH53,AO53,AV53,BC53,BJ53,BQ53,CE53,CL53,CS53,CZ53,DG53),(2/15))</f>
        <v>2403564.3058910039</v>
      </c>
      <c r="DP53" s="72">
        <f t="shared" si="150"/>
        <v>2400000</v>
      </c>
      <c r="DQ53" s="86" t="str">
        <f t="shared" si="151"/>
        <v>N/A</v>
      </c>
      <c r="DR53" s="88">
        <f>+STDEV(F53,M53,T53,AA53,AH53,AO53,AV53,BC53,BJ53,BQ53,CE53,CL53,CS53,CZ53,DG53)/DN53</f>
        <v>0.50037663003468336</v>
      </c>
      <c r="DS53" t="s">
        <v>176</v>
      </c>
      <c r="DT53" t="s">
        <v>165</v>
      </c>
    </row>
    <row r="54" spans="1:124" ht="46" thickBot="1" x14ac:dyDescent="0.25">
      <c r="A54" s="1" t="s">
        <v>126</v>
      </c>
      <c r="B54" s="103" t="s">
        <v>127</v>
      </c>
      <c r="C54" s="104"/>
      <c r="D54" s="104"/>
      <c r="E54" s="105"/>
      <c r="F54" s="18" t="s">
        <v>3</v>
      </c>
      <c r="G54" s="19" t="s">
        <v>20</v>
      </c>
      <c r="I54" s="103" t="s">
        <v>127</v>
      </c>
      <c r="J54" s="104"/>
      <c r="K54" s="104"/>
      <c r="L54" s="105"/>
      <c r="M54" s="18" t="s">
        <v>3</v>
      </c>
      <c r="N54" s="19" t="s">
        <v>20</v>
      </c>
      <c r="P54" s="15" t="s">
        <v>127</v>
      </c>
      <c r="Q54" s="16"/>
      <c r="R54" s="16"/>
      <c r="S54" s="17"/>
      <c r="T54" s="18" t="s">
        <v>3</v>
      </c>
      <c r="U54" s="19" t="s">
        <v>20</v>
      </c>
      <c r="W54" s="103" t="s">
        <v>127</v>
      </c>
      <c r="X54" s="104"/>
      <c r="Y54" s="104"/>
      <c r="Z54" s="105"/>
      <c r="AA54" s="18" t="s">
        <v>3</v>
      </c>
      <c r="AB54" s="19" t="s">
        <v>20</v>
      </c>
      <c r="AD54" s="103" t="s">
        <v>127</v>
      </c>
      <c r="AE54" s="104"/>
      <c r="AF54" s="104"/>
      <c r="AG54" s="105"/>
      <c r="AH54" s="18" t="s">
        <v>3</v>
      </c>
      <c r="AI54" s="19" t="s">
        <v>20</v>
      </c>
      <c r="AK54" s="103" t="s">
        <v>127</v>
      </c>
      <c r="AL54" s="104"/>
      <c r="AM54" s="104"/>
      <c r="AN54" s="105"/>
      <c r="AO54" s="18" t="s">
        <v>3</v>
      </c>
      <c r="AP54" s="19" t="s">
        <v>20</v>
      </c>
      <c r="AR54" s="103" t="s">
        <v>127</v>
      </c>
      <c r="AS54" s="104"/>
      <c r="AT54" s="104"/>
      <c r="AU54" s="105"/>
      <c r="AV54" s="18" t="s">
        <v>3</v>
      </c>
      <c r="AW54" s="19" t="s">
        <v>20</v>
      </c>
      <c r="AY54" s="95" t="s">
        <v>127</v>
      </c>
      <c r="AZ54" s="96"/>
      <c r="BA54" s="96"/>
      <c r="BB54" s="97"/>
      <c r="BC54" s="60" t="s">
        <v>3</v>
      </c>
      <c r="BD54" s="61" t="s">
        <v>20</v>
      </c>
      <c r="BF54" s="144" t="s">
        <v>127</v>
      </c>
      <c r="BG54" s="145"/>
      <c r="BH54" s="145"/>
      <c r="BI54" s="146"/>
      <c r="BJ54" s="40" t="s">
        <v>3</v>
      </c>
      <c r="BK54" s="41" t="s">
        <v>20</v>
      </c>
      <c r="BM54" s="95" t="s">
        <v>127</v>
      </c>
      <c r="BN54" s="96"/>
      <c r="BO54" s="96"/>
      <c r="BP54" s="97"/>
      <c r="BQ54" s="60" t="s">
        <v>3</v>
      </c>
      <c r="BR54" s="61" t="s">
        <v>20</v>
      </c>
      <c r="BT54" s="103" t="s">
        <v>127</v>
      </c>
      <c r="BU54" s="104"/>
      <c r="BV54" s="104"/>
      <c r="BW54" s="105"/>
      <c r="BX54" s="18" t="s">
        <v>3</v>
      </c>
      <c r="BY54" s="19" t="s">
        <v>20</v>
      </c>
      <c r="CA54" s="103" t="s">
        <v>127</v>
      </c>
      <c r="CB54" s="104"/>
      <c r="CC54" s="104"/>
      <c r="CD54" s="105"/>
      <c r="CE54" s="18" t="s">
        <v>3</v>
      </c>
      <c r="CF54" s="19" t="s">
        <v>20</v>
      </c>
      <c r="CH54" s="103" t="s">
        <v>127</v>
      </c>
      <c r="CI54" s="104"/>
      <c r="CJ54" s="104"/>
      <c r="CK54" s="105"/>
      <c r="CL54" s="18" t="s">
        <v>3</v>
      </c>
      <c r="CM54" s="19" t="s">
        <v>20</v>
      </c>
      <c r="CO54" s="103" t="s">
        <v>241</v>
      </c>
      <c r="CP54" s="104"/>
      <c r="CQ54" s="104"/>
      <c r="CR54" s="105"/>
      <c r="CS54" s="18" t="s">
        <v>202</v>
      </c>
      <c r="CT54" s="19" t="s">
        <v>223</v>
      </c>
      <c r="CV54" s="95" t="s">
        <v>127</v>
      </c>
      <c r="CW54" s="96"/>
      <c r="CX54" s="96"/>
      <c r="CY54" s="97"/>
      <c r="CZ54" s="60" t="s">
        <v>3</v>
      </c>
      <c r="DA54" s="61" t="s">
        <v>20</v>
      </c>
      <c r="DC54" s="103" t="s">
        <v>127</v>
      </c>
      <c r="DD54" s="104"/>
      <c r="DE54" s="104"/>
      <c r="DF54" s="105"/>
      <c r="DG54" s="18" t="s">
        <v>3</v>
      </c>
      <c r="DH54" s="19" t="s">
        <v>20</v>
      </c>
    </row>
    <row r="55" spans="1:124" ht="46" thickBot="1" x14ac:dyDescent="0.25">
      <c r="A55" s="3" t="s">
        <v>5</v>
      </c>
      <c r="B55" s="20" t="s">
        <v>6</v>
      </c>
      <c r="C55" s="20" t="s">
        <v>7</v>
      </c>
      <c r="D55" s="20" t="s">
        <v>8</v>
      </c>
      <c r="E55" s="21" t="s">
        <v>9</v>
      </c>
      <c r="F55" s="106" t="s">
        <v>21</v>
      </c>
      <c r="G55" s="107"/>
      <c r="I55" s="20" t="s">
        <v>6</v>
      </c>
      <c r="J55" s="20" t="s">
        <v>7</v>
      </c>
      <c r="K55" s="20" t="s">
        <v>8</v>
      </c>
      <c r="L55" s="21" t="s">
        <v>9</v>
      </c>
      <c r="M55" s="106" t="s">
        <v>21</v>
      </c>
      <c r="N55" s="107"/>
      <c r="P55" s="20" t="s">
        <v>6</v>
      </c>
      <c r="Q55" s="20" t="s">
        <v>7</v>
      </c>
      <c r="R55" s="20" t="s">
        <v>8</v>
      </c>
      <c r="S55" s="21" t="s">
        <v>9</v>
      </c>
      <c r="T55" s="22" t="s">
        <v>21</v>
      </c>
      <c r="U55" s="23"/>
      <c r="W55" s="20" t="s">
        <v>6</v>
      </c>
      <c r="X55" s="20" t="s">
        <v>7</v>
      </c>
      <c r="Y55" s="20" t="s">
        <v>8</v>
      </c>
      <c r="Z55" s="21" t="s">
        <v>9</v>
      </c>
      <c r="AA55" s="106" t="s">
        <v>21</v>
      </c>
      <c r="AB55" s="107"/>
      <c r="AD55" s="20" t="s">
        <v>6</v>
      </c>
      <c r="AE55" s="20" t="s">
        <v>7</v>
      </c>
      <c r="AF55" s="20" t="s">
        <v>8</v>
      </c>
      <c r="AG55" s="21" t="s">
        <v>9</v>
      </c>
      <c r="AH55" s="106" t="s">
        <v>21</v>
      </c>
      <c r="AI55" s="107"/>
      <c r="AK55" s="20" t="s">
        <v>6</v>
      </c>
      <c r="AL55" s="20" t="s">
        <v>7</v>
      </c>
      <c r="AM55" s="20" t="s">
        <v>8</v>
      </c>
      <c r="AN55" s="21" t="s">
        <v>9</v>
      </c>
      <c r="AO55" s="106" t="s">
        <v>21</v>
      </c>
      <c r="AP55" s="107"/>
      <c r="AR55" s="20" t="s">
        <v>6</v>
      </c>
      <c r="AS55" s="20" t="s">
        <v>7</v>
      </c>
      <c r="AT55" s="20" t="s">
        <v>8</v>
      </c>
      <c r="AU55" s="21" t="s">
        <v>9</v>
      </c>
      <c r="AV55" s="106" t="s">
        <v>21</v>
      </c>
      <c r="AW55" s="107"/>
      <c r="AY55" s="52" t="s">
        <v>6</v>
      </c>
      <c r="AZ55" s="52" t="s">
        <v>7</v>
      </c>
      <c r="BA55" s="52" t="s">
        <v>8</v>
      </c>
      <c r="BB55" s="53" t="s">
        <v>9</v>
      </c>
      <c r="BC55" s="98" t="s">
        <v>21</v>
      </c>
      <c r="BD55" s="97"/>
      <c r="BF55" s="42" t="s">
        <v>6</v>
      </c>
      <c r="BG55" s="42" t="s">
        <v>7</v>
      </c>
      <c r="BH55" s="42" t="s">
        <v>8</v>
      </c>
      <c r="BI55" s="43" t="s">
        <v>9</v>
      </c>
      <c r="BJ55" s="147" t="s">
        <v>21</v>
      </c>
      <c r="BK55" s="148"/>
      <c r="BM55" s="52" t="s">
        <v>6</v>
      </c>
      <c r="BN55" s="52" t="s">
        <v>7</v>
      </c>
      <c r="BO55" s="52" t="s">
        <v>8</v>
      </c>
      <c r="BP55" s="53" t="s">
        <v>9</v>
      </c>
      <c r="BQ55" s="98" t="s">
        <v>21</v>
      </c>
      <c r="BR55" s="97"/>
      <c r="BT55" s="20" t="s">
        <v>6</v>
      </c>
      <c r="BU55" s="20" t="s">
        <v>7</v>
      </c>
      <c r="BV55" s="20" t="s">
        <v>8</v>
      </c>
      <c r="BW55" s="21" t="s">
        <v>9</v>
      </c>
      <c r="BX55" s="106" t="s">
        <v>21</v>
      </c>
      <c r="BY55" s="107"/>
      <c r="CA55" s="20" t="s">
        <v>6</v>
      </c>
      <c r="CB55" s="20" t="s">
        <v>7</v>
      </c>
      <c r="CC55" s="20" t="s">
        <v>8</v>
      </c>
      <c r="CD55" s="21" t="s">
        <v>9</v>
      </c>
      <c r="CE55" s="106" t="s">
        <v>21</v>
      </c>
      <c r="CF55" s="107"/>
      <c r="CH55" s="20" t="s">
        <v>6</v>
      </c>
      <c r="CI55" s="20" t="s">
        <v>7</v>
      </c>
      <c r="CJ55" s="20" t="s">
        <v>8</v>
      </c>
      <c r="CK55" s="21" t="s">
        <v>9</v>
      </c>
      <c r="CL55" s="106" t="s">
        <v>21</v>
      </c>
      <c r="CM55" s="107"/>
      <c r="CO55" s="20" t="s">
        <v>204</v>
      </c>
      <c r="CP55" s="20" t="s">
        <v>205</v>
      </c>
      <c r="CQ55" s="20" t="s">
        <v>206</v>
      </c>
      <c r="CR55" s="21" t="s">
        <v>207</v>
      </c>
      <c r="CS55" s="106" t="s">
        <v>208</v>
      </c>
      <c r="CT55" s="107"/>
      <c r="CV55" s="52" t="s">
        <v>6</v>
      </c>
      <c r="CW55" s="52" t="s">
        <v>7</v>
      </c>
      <c r="CX55" s="52" t="s">
        <v>8</v>
      </c>
      <c r="CY55" s="53" t="s">
        <v>9</v>
      </c>
      <c r="CZ55" s="98" t="s">
        <v>21</v>
      </c>
      <c r="DA55" s="97"/>
      <c r="DC55" s="20" t="s">
        <v>6</v>
      </c>
      <c r="DD55" s="20" t="s">
        <v>7</v>
      </c>
      <c r="DE55" s="20" t="s">
        <v>8</v>
      </c>
      <c r="DF55" s="21" t="s">
        <v>9</v>
      </c>
      <c r="DG55" s="106" t="s">
        <v>21</v>
      </c>
      <c r="DH55" s="107"/>
      <c r="DJ55" s="68" t="s">
        <v>6</v>
      </c>
      <c r="DK55" s="68" t="s">
        <v>7</v>
      </c>
      <c r="DL55" s="69" t="s">
        <v>268</v>
      </c>
      <c r="DM55" s="69" t="s">
        <v>269</v>
      </c>
      <c r="DN55" s="69" t="s">
        <v>270</v>
      </c>
      <c r="DO55" s="69" t="s">
        <v>273</v>
      </c>
      <c r="DP55" s="69" t="s">
        <v>271</v>
      </c>
      <c r="DQ55" s="69" t="s">
        <v>272</v>
      </c>
      <c r="DS55" s="92" t="s">
        <v>291</v>
      </c>
      <c r="DT55" s="92" t="s">
        <v>292</v>
      </c>
    </row>
    <row r="56" spans="1:124" ht="17" thickBot="1" x14ac:dyDescent="0.25">
      <c r="A56" s="167" t="s">
        <v>94</v>
      </c>
      <c r="B56" s="9" t="s">
        <v>136</v>
      </c>
      <c r="C56" s="10" t="s">
        <v>96</v>
      </c>
      <c r="D56" s="11">
        <v>3210000</v>
      </c>
      <c r="E56" s="12">
        <f>(D56*19)/100</f>
        <v>609900</v>
      </c>
      <c r="F56" s="99">
        <f>D56+E56</f>
        <v>3819900</v>
      </c>
      <c r="G56" s="100"/>
      <c r="I56" s="9" t="s">
        <v>136</v>
      </c>
      <c r="J56" s="10" t="s">
        <v>96</v>
      </c>
      <c r="K56" s="11">
        <v>2801118</v>
      </c>
      <c r="L56" s="12">
        <v>0</v>
      </c>
      <c r="M56" s="99">
        <f>K56+L56</f>
        <v>2801118</v>
      </c>
      <c r="N56" s="100"/>
      <c r="P56" s="9" t="s">
        <v>136</v>
      </c>
      <c r="Q56" s="10" t="s">
        <v>96</v>
      </c>
      <c r="R56" s="11">
        <v>2650000</v>
      </c>
      <c r="S56" s="12">
        <v>0</v>
      </c>
      <c r="T56" s="155">
        <f>+R56+S56</f>
        <v>2650000</v>
      </c>
      <c r="U56" s="156"/>
      <c r="W56" s="9" t="s">
        <v>136</v>
      </c>
      <c r="X56" s="10" t="s">
        <v>96</v>
      </c>
      <c r="Y56" s="11">
        <v>1900000</v>
      </c>
      <c r="Z56" s="12">
        <v>0</v>
      </c>
      <c r="AA56" s="114">
        <f>Y56+Z56</f>
        <v>1900000</v>
      </c>
      <c r="AB56" s="115"/>
      <c r="AD56" s="9" t="s">
        <v>136</v>
      </c>
      <c r="AE56" s="10" t="s">
        <v>96</v>
      </c>
      <c r="AF56" s="11">
        <v>1730400</v>
      </c>
      <c r="AG56" s="12">
        <v>0</v>
      </c>
      <c r="AH56" s="99">
        <f>AF56+AG56</f>
        <v>1730400</v>
      </c>
      <c r="AI56" s="100"/>
      <c r="AK56" s="9" t="s">
        <v>136</v>
      </c>
      <c r="AL56" s="10" t="s">
        <v>96</v>
      </c>
      <c r="AM56" s="11">
        <v>770700000</v>
      </c>
      <c r="AN56" s="12">
        <v>0</v>
      </c>
      <c r="AO56" s="114">
        <f>+AM56/700</f>
        <v>1101000</v>
      </c>
      <c r="AP56" s="115"/>
      <c r="AR56" s="9" t="s">
        <v>136</v>
      </c>
      <c r="AS56" s="10" t="s">
        <v>96</v>
      </c>
      <c r="AT56" s="11">
        <v>1700259.7402597403</v>
      </c>
      <c r="AU56" s="12">
        <v>0</v>
      </c>
      <c r="AV56" s="114">
        <f>AT56+AU56</f>
        <v>1700259.7402597403</v>
      </c>
      <c r="AW56" s="115"/>
      <c r="AY56" s="54" t="s">
        <v>136</v>
      </c>
      <c r="AZ56" s="55" t="s">
        <v>96</v>
      </c>
      <c r="BA56" s="56">
        <v>4536948</v>
      </c>
      <c r="BB56" s="57">
        <v>0</v>
      </c>
      <c r="BC56" s="93">
        <f t="shared" ref="BC56:BC59" si="152">BA56+BB56</f>
        <v>4536948</v>
      </c>
      <c r="BD56" s="94"/>
      <c r="BF56" s="34" t="s">
        <v>136</v>
      </c>
      <c r="BG56" s="35" t="s">
        <v>96</v>
      </c>
      <c r="BH56" s="36">
        <v>6790000</v>
      </c>
      <c r="BI56" s="37">
        <v>0</v>
      </c>
      <c r="BJ56" s="142">
        <f>BH56+BI56</f>
        <v>6790000</v>
      </c>
      <c r="BK56" s="143"/>
      <c r="BM56" s="54" t="s">
        <v>136</v>
      </c>
      <c r="BN56" s="55" t="s">
        <v>96</v>
      </c>
      <c r="BO56" s="56">
        <v>4701401.1032555103</v>
      </c>
      <c r="BP56" s="57">
        <v>0</v>
      </c>
      <c r="BQ56" s="93">
        <f t="shared" ref="BQ56:BQ59" si="153">BO56+BP56</f>
        <v>4701401.1032555103</v>
      </c>
      <c r="BR56" s="94"/>
      <c r="BT56" s="9" t="s">
        <v>136</v>
      </c>
      <c r="BU56" s="10" t="s">
        <v>191</v>
      </c>
      <c r="BV56" s="11">
        <v>219313000</v>
      </c>
      <c r="BW56" s="12">
        <v>0</v>
      </c>
      <c r="BX56" s="114">
        <f>+BV56/70</f>
        <v>3133042.8571428573</v>
      </c>
      <c r="BY56" s="115"/>
      <c r="CA56" s="9" t="s">
        <v>136</v>
      </c>
      <c r="CB56" s="10" t="s">
        <v>96</v>
      </c>
      <c r="CC56" s="11">
        <v>1800000</v>
      </c>
      <c r="CD56" s="12">
        <f>CC56*0.19</f>
        <v>342000</v>
      </c>
      <c r="CE56" s="99">
        <f>CC56+CD56</f>
        <v>2142000</v>
      </c>
      <c r="CF56" s="100"/>
      <c r="CH56" s="9" t="s">
        <v>136</v>
      </c>
      <c r="CI56" s="10" t="s">
        <v>96</v>
      </c>
      <c r="CJ56" s="11">
        <v>3000000</v>
      </c>
      <c r="CK56" s="12">
        <v>0</v>
      </c>
      <c r="CL56" s="99">
        <f>CJ56+CK56</f>
        <v>3000000</v>
      </c>
      <c r="CM56" s="100"/>
      <c r="CO56" s="9" t="s">
        <v>250</v>
      </c>
      <c r="CP56" s="10" t="s">
        <v>210</v>
      </c>
      <c r="CQ56" s="11">
        <v>5200000</v>
      </c>
      <c r="CR56" s="12" t="s">
        <v>211</v>
      </c>
      <c r="CS56" s="99">
        <f>+CQ56</f>
        <v>5200000</v>
      </c>
      <c r="CT56" s="100"/>
      <c r="CV56" s="54" t="s">
        <v>136</v>
      </c>
      <c r="CW56" s="55" t="s">
        <v>96</v>
      </c>
      <c r="CX56" s="56">
        <v>3000000</v>
      </c>
      <c r="CY56" s="57">
        <v>0</v>
      </c>
      <c r="CZ56" s="93">
        <f t="shared" ref="CZ56:CZ59" si="154">CX56+CY56</f>
        <v>3000000</v>
      </c>
      <c r="DA56" s="94"/>
      <c r="DC56" s="9" t="s">
        <v>136</v>
      </c>
      <c r="DD56" s="10" t="s">
        <v>96</v>
      </c>
      <c r="DE56" s="11">
        <v>2008888.8888888834</v>
      </c>
      <c r="DF56" s="12">
        <f>DE56*0.19</f>
        <v>381688.88888888783</v>
      </c>
      <c r="DG56" s="99">
        <f>DE56+DF56</f>
        <v>2390577.7777777715</v>
      </c>
      <c r="DH56" s="100"/>
      <c r="DJ56" s="70" t="s">
        <v>136</v>
      </c>
      <c r="DK56" s="71" t="s">
        <v>96</v>
      </c>
      <c r="DL56" s="72">
        <f>+MAX(F56,M56,T56,AA56,AH56,AO56,AV56,BC56,BJ56,BQ56,BX56,CE56,CL56,CS56,CZ56,DG56)</f>
        <v>6790000</v>
      </c>
      <c r="DM56" s="72">
        <f>+MIN(F56,M56,T56,AA56,AH56,AO56,AV56,BC56,BJ56,BQ56,BX56,CE56,CL56,CS56,CZ56,DG56)</f>
        <v>1101000</v>
      </c>
      <c r="DN56" s="72">
        <f>+AVERAGE(F56,M56,T56,AA56,AH56,AO56,AV56,BC56,BJ56,BQ56,BX56,CE56,CL56,CS56,CZ56,DG56)</f>
        <v>3162290.4674022421</v>
      </c>
      <c r="DO56" s="72">
        <f>+TRIMMEAN((F56,M56,T56,AA56,AH56,AO56,AV56,BC56,BJ56,BQ56,BX56,CE56,CL56,CS56,CZ56,DG56),(2/16))</f>
        <v>3050403.3913168488</v>
      </c>
      <c r="DP56" s="72">
        <f>+MEDIAN(F56,M56,T56,AA56,AH56,AO56,AV56,BC56,BJ56,BQ56,BX56,CE56,CL56,CS56,CZ56,DG56)</f>
        <v>2900559</v>
      </c>
      <c r="DQ56" s="72">
        <f>IFERROR(MODE(F56,M56,T56,AA56,AH56,AO56,AV56,BC56,BJ56,BQ56,BX56,CE56,CL56,CS56,CZ56,DG56),"N/A")</f>
        <v>3000000</v>
      </c>
      <c r="DR56" s="88">
        <f>+STDEV(F56,M56,T56,AA56,AH56,AO56,AV56,BC56,BJ56,BQ56,BX56,CE56,CL56,CS56,CZ56,DG56)/DN56</f>
        <v>0.47690912623003368</v>
      </c>
      <c r="DS56" t="s">
        <v>176</v>
      </c>
      <c r="DT56" t="s">
        <v>165</v>
      </c>
    </row>
    <row r="57" spans="1:124" ht="17" thickBot="1" x14ac:dyDescent="0.25">
      <c r="A57" s="168"/>
      <c r="B57" s="9" t="s">
        <v>137</v>
      </c>
      <c r="C57" s="13" t="s">
        <v>98</v>
      </c>
      <c r="D57" s="11">
        <v>2252000</v>
      </c>
      <c r="E57" s="12">
        <f t="shared" ref="E57:E59" si="155">(D57*19)/100</f>
        <v>427880</v>
      </c>
      <c r="F57" s="99">
        <f t="shared" ref="F57:F59" si="156">D57+E57</f>
        <v>2679880</v>
      </c>
      <c r="G57" s="100"/>
      <c r="I57" s="9" t="s">
        <v>137</v>
      </c>
      <c r="J57" s="13" t="s">
        <v>98</v>
      </c>
      <c r="K57" s="11">
        <v>2778708</v>
      </c>
      <c r="L57" s="12">
        <v>0</v>
      </c>
      <c r="M57" s="99">
        <f t="shared" ref="M57:M59" si="157">K57+L57</f>
        <v>2778708</v>
      </c>
      <c r="N57" s="100"/>
      <c r="P57" s="9" t="s">
        <v>137</v>
      </c>
      <c r="Q57" s="13" t="s">
        <v>98</v>
      </c>
      <c r="R57" s="11">
        <v>2590000</v>
      </c>
      <c r="S57" s="12">
        <v>0</v>
      </c>
      <c r="T57" s="155">
        <f>+R57+S57</f>
        <v>2590000</v>
      </c>
      <c r="U57" s="156"/>
      <c r="W57" s="9" t="s">
        <v>137</v>
      </c>
      <c r="X57" s="13" t="s">
        <v>98</v>
      </c>
      <c r="Y57" s="11">
        <v>1085000</v>
      </c>
      <c r="Z57" s="12">
        <v>0</v>
      </c>
      <c r="AA57" s="114">
        <f t="shared" ref="AA57:AA59" si="158">Y57+Z57</f>
        <v>1085000</v>
      </c>
      <c r="AB57" s="115"/>
      <c r="AD57" s="9" t="s">
        <v>137</v>
      </c>
      <c r="AE57" s="13" t="s">
        <v>98</v>
      </c>
      <c r="AF57" s="11">
        <v>1648600</v>
      </c>
      <c r="AG57" s="12">
        <v>0</v>
      </c>
      <c r="AH57" s="99">
        <f t="shared" ref="AH57:AH59" si="159">AF57+AG57</f>
        <v>1648600</v>
      </c>
      <c r="AI57" s="100"/>
      <c r="AK57" s="9" t="s">
        <v>137</v>
      </c>
      <c r="AL57" s="13" t="s">
        <v>98</v>
      </c>
      <c r="AM57" s="11">
        <v>1397200000</v>
      </c>
      <c r="AN57" s="12">
        <v>0</v>
      </c>
      <c r="AO57" s="114">
        <f>+AM57/1400</f>
        <v>998000</v>
      </c>
      <c r="AP57" s="115"/>
      <c r="AR57" s="9" t="s">
        <v>137</v>
      </c>
      <c r="AS57" s="13" t="s">
        <v>98</v>
      </c>
      <c r="AT57" s="11">
        <v>1683425.4854056835</v>
      </c>
      <c r="AU57" s="12">
        <v>0</v>
      </c>
      <c r="AV57" s="114">
        <f t="shared" ref="AV57:AV59" si="160">AT57+AU57</f>
        <v>1683425.4854056835</v>
      </c>
      <c r="AW57" s="115"/>
      <c r="AY57" s="54" t="s">
        <v>137</v>
      </c>
      <c r="AZ57" s="58" t="s">
        <v>98</v>
      </c>
      <c r="BA57" s="56">
        <v>4633641</v>
      </c>
      <c r="BB57" s="57">
        <v>0</v>
      </c>
      <c r="BC57" s="93">
        <f t="shared" si="152"/>
        <v>4633641</v>
      </c>
      <c r="BD57" s="94"/>
      <c r="BF57" s="34" t="s">
        <v>137</v>
      </c>
      <c r="BG57" s="38" t="s">
        <v>98</v>
      </c>
      <c r="BH57" s="36">
        <v>5800000</v>
      </c>
      <c r="BI57" s="37">
        <v>0</v>
      </c>
      <c r="BJ57" s="142">
        <f t="shared" ref="BJ57:BJ59" si="161">BH57+BI57</f>
        <v>5800000</v>
      </c>
      <c r="BK57" s="143"/>
      <c r="BM57" s="54" t="s">
        <v>137</v>
      </c>
      <c r="BN57" s="58" t="s">
        <v>98</v>
      </c>
      <c r="BO57" s="56">
        <v>4801628.6577357622</v>
      </c>
      <c r="BP57" s="57">
        <v>0</v>
      </c>
      <c r="BQ57" s="93">
        <f t="shared" si="153"/>
        <v>4801628.6577357622</v>
      </c>
      <c r="BR57" s="94"/>
      <c r="BT57" s="9" t="s">
        <v>137</v>
      </c>
      <c r="BU57" s="13" t="s">
        <v>98</v>
      </c>
      <c r="BV57" s="11">
        <v>0</v>
      </c>
      <c r="BW57" s="12">
        <v>0</v>
      </c>
      <c r="BX57" s="151">
        <f t="shared" ref="BX57:BX59" si="162">BV57+BW57</f>
        <v>0</v>
      </c>
      <c r="BY57" s="152"/>
      <c r="CA57" s="9" t="s">
        <v>137</v>
      </c>
      <c r="CB57" s="13" t="s">
        <v>98</v>
      </c>
      <c r="CC57" s="11">
        <v>1700000</v>
      </c>
      <c r="CD57" s="12">
        <f t="shared" ref="CD57:CD59" si="163">CC57*0.19</f>
        <v>323000</v>
      </c>
      <c r="CE57" s="99">
        <f t="shared" ref="CE57:CE59" si="164">CC57+CD57</f>
        <v>2023000</v>
      </c>
      <c r="CF57" s="100"/>
      <c r="CH57" s="9" t="s">
        <v>137</v>
      </c>
      <c r="CI57" s="13" t="s">
        <v>98</v>
      </c>
      <c r="CJ57" s="11">
        <v>2800000</v>
      </c>
      <c r="CK57" s="12">
        <v>0</v>
      </c>
      <c r="CL57" s="99">
        <f>CJ57+CK57</f>
        <v>2800000</v>
      </c>
      <c r="CM57" s="100"/>
      <c r="CO57" s="9" t="s">
        <v>251</v>
      </c>
      <c r="CP57" s="13" t="s">
        <v>213</v>
      </c>
      <c r="CQ57" s="11">
        <v>4400000</v>
      </c>
      <c r="CR57" s="12" t="s">
        <v>211</v>
      </c>
      <c r="CS57" s="99">
        <v>4400000</v>
      </c>
      <c r="CT57" s="100"/>
      <c r="CV57" s="54" t="s">
        <v>137</v>
      </c>
      <c r="CW57" s="58" t="s">
        <v>98</v>
      </c>
      <c r="CX57" s="56">
        <v>3000000</v>
      </c>
      <c r="CY57" s="57">
        <v>0</v>
      </c>
      <c r="CZ57" s="93">
        <f t="shared" si="154"/>
        <v>3000000</v>
      </c>
      <c r="DA57" s="94"/>
      <c r="DC57" s="9" t="s">
        <v>137</v>
      </c>
      <c r="DD57" s="13" t="s">
        <v>98</v>
      </c>
      <c r="DE57" s="11">
        <v>943888.88888888841</v>
      </c>
      <c r="DF57" s="12">
        <f>DE57*0.19</f>
        <v>179338.88888888879</v>
      </c>
      <c r="DG57" s="99">
        <f t="shared" ref="DG57:DG59" si="165">DE57+DF57</f>
        <v>1123227.7777777773</v>
      </c>
      <c r="DH57" s="100"/>
      <c r="DJ57" s="70" t="s">
        <v>137</v>
      </c>
      <c r="DK57" s="71" t="s">
        <v>98</v>
      </c>
      <c r="DL57" s="72">
        <f>+MAX(F57,M57,T57,AA57,AH57,AO57,AV57,BC57,BJ57,BQ57,CE57,CL57,CS57,CZ57,DG57)</f>
        <v>5800000</v>
      </c>
      <c r="DM57" s="72">
        <f>+MIN(F57,M57,T57,AA57,AH57,AO57,AV57,BC57,BJ57,BQ57,CE57,CL57,CS57,CZ57,DG57)</f>
        <v>998000</v>
      </c>
      <c r="DN57" s="72">
        <f>+AVERAGE(F57,M57,T57,AA57,AH57,AO57,AV57,BC57,BJ57,BQ57,CE57,CL57,CS57,CZ57,DG57)</f>
        <v>2803007.3947279481</v>
      </c>
      <c r="DO57" s="72">
        <f>+TRIMMEAN((F57,M57,T57,AA57,AH57,AO57,AV57,BC57,BJ57,BQ57,CE57,CL57,CS57,CZ57,DG57),(2/15))</f>
        <v>2711316.2246860941</v>
      </c>
      <c r="DP57" s="72">
        <f>+MEDIAN(F57,M57,T57,AA57,AH57,AO57,AV57,BC57,BJ57,BQ57,CE57,CL57,CS57,CZ57,DG57)</f>
        <v>2679880</v>
      </c>
      <c r="DQ57" s="86" t="str">
        <f>IFERROR(MODE(F57,M57,T57,AA57,AH57,AO57,AV57,BC57,BJ57,BQ57,CE57,CL57,CS57,CZ57,DG57),"N/A")</f>
        <v>N/A</v>
      </c>
      <c r="DR57" s="88">
        <f>+STDEV(F57,M57,T57,AA57,AH57,AO57,AV57,BC57,BJ57,BQ57,CE57,CL57,CS57,CZ57,DG57)/DN57</f>
        <v>0.53261744822061041</v>
      </c>
      <c r="DS57" t="s">
        <v>176</v>
      </c>
      <c r="DT57" t="s">
        <v>165</v>
      </c>
    </row>
    <row r="58" spans="1:124" ht="17" thickBot="1" x14ac:dyDescent="0.25">
      <c r="A58" s="168"/>
      <c r="B58" s="9" t="s">
        <v>138</v>
      </c>
      <c r="C58" s="13" t="s">
        <v>100</v>
      </c>
      <c r="D58" s="11">
        <v>1916000</v>
      </c>
      <c r="E58" s="12">
        <f t="shared" si="155"/>
        <v>364040</v>
      </c>
      <c r="F58" s="99">
        <f t="shared" si="156"/>
        <v>2280040</v>
      </c>
      <c r="G58" s="100"/>
      <c r="I58" s="9" t="s">
        <v>138</v>
      </c>
      <c r="J58" s="13" t="s">
        <v>100</v>
      </c>
      <c r="K58" s="11">
        <v>2770305</v>
      </c>
      <c r="L58" s="12">
        <v>0</v>
      </c>
      <c r="M58" s="99">
        <f t="shared" si="157"/>
        <v>2770305</v>
      </c>
      <c r="N58" s="100"/>
      <c r="P58" s="9" t="s">
        <v>138</v>
      </c>
      <c r="Q58" s="13" t="s">
        <v>100</v>
      </c>
      <c r="R58" s="11">
        <v>2470000</v>
      </c>
      <c r="S58" s="12">
        <v>0</v>
      </c>
      <c r="T58" s="155">
        <f>+R58+S58</f>
        <v>2470000</v>
      </c>
      <c r="U58" s="156"/>
      <c r="W58" s="9" t="s">
        <v>138</v>
      </c>
      <c r="X58" s="13" t="s">
        <v>100</v>
      </c>
      <c r="Y58" s="11">
        <v>1714750</v>
      </c>
      <c r="Z58" s="12">
        <v>0</v>
      </c>
      <c r="AA58" s="114">
        <f t="shared" si="158"/>
        <v>1714750</v>
      </c>
      <c r="AB58" s="115"/>
      <c r="AD58" s="9" t="s">
        <v>138</v>
      </c>
      <c r="AE58" s="13" t="s">
        <v>100</v>
      </c>
      <c r="AF58" s="11">
        <v>1566900</v>
      </c>
      <c r="AG58" s="12">
        <v>0</v>
      </c>
      <c r="AH58" s="99">
        <f t="shared" si="159"/>
        <v>1566900</v>
      </c>
      <c r="AI58" s="100"/>
      <c r="AK58" s="9" t="s">
        <v>138</v>
      </c>
      <c r="AL58" s="13" t="s">
        <v>100</v>
      </c>
      <c r="AM58" s="11">
        <v>1449000000</v>
      </c>
      <c r="AN58" s="12">
        <v>0</v>
      </c>
      <c r="AO58" s="114">
        <f>+AM58/2000</f>
        <v>724500</v>
      </c>
      <c r="AP58" s="115"/>
      <c r="AR58" s="9" t="s">
        <v>138</v>
      </c>
      <c r="AS58" s="13" t="s">
        <v>100</v>
      </c>
      <c r="AT58" s="11">
        <v>1666921.3139801375</v>
      </c>
      <c r="AU58" s="12">
        <v>0</v>
      </c>
      <c r="AV58" s="114">
        <f t="shared" si="160"/>
        <v>1666921.3139801375</v>
      </c>
      <c r="AW58" s="115"/>
      <c r="AY58" s="54" t="s">
        <v>138</v>
      </c>
      <c r="AZ58" s="58" t="s">
        <v>100</v>
      </c>
      <c r="BA58" s="56">
        <v>4557502</v>
      </c>
      <c r="BB58" s="57">
        <v>0</v>
      </c>
      <c r="BC58" s="93">
        <f t="shared" si="152"/>
        <v>4557502</v>
      </c>
      <c r="BD58" s="94"/>
      <c r="BF58" s="34" t="s">
        <v>138</v>
      </c>
      <c r="BG58" s="38" t="s">
        <v>100</v>
      </c>
      <c r="BH58" s="36">
        <v>5800000</v>
      </c>
      <c r="BI58" s="37">
        <v>0</v>
      </c>
      <c r="BJ58" s="142">
        <f t="shared" si="161"/>
        <v>5800000</v>
      </c>
      <c r="BK58" s="143"/>
      <c r="BM58" s="54" t="s">
        <v>138</v>
      </c>
      <c r="BN58" s="58" t="s">
        <v>100</v>
      </c>
      <c r="BO58" s="56">
        <v>4722778.6868496723</v>
      </c>
      <c r="BP58" s="57">
        <v>0</v>
      </c>
      <c r="BQ58" s="93">
        <f t="shared" si="153"/>
        <v>4722778.6868496723</v>
      </c>
      <c r="BR58" s="94"/>
      <c r="BT58" s="9" t="s">
        <v>138</v>
      </c>
      <c r="BU58" s="13" t="s">
        <v>100</v>
      </c>
      <c r="BV58" s="11">
        <v>0</v>
      </c>
      <c r="BW58" s="12">
        <v>0</v>
      </c>
      <c r="BX58" s="151">
        <f t="shared" si="162"/>
        <v>0</v>
      </c>
      <c r="BY58" s="152"/>
      <c r="CA58" s="9" t="s">
        <v>138</v>
      </c>
      <c r="CB58" s="13" t="s">
        <v>100</v>
      </c>
      <c r="CC58" s="11">
        <v>1600000</v>
      </c>
      <c r="CD58" s="12">
        <f t="shared" si="163"/>
        <v>304000</v>
      </c>
      <c r="CE58" s="99">
        <f t="shared" si="164"/>
        <v>1904000</v>
      </c>
      <c r="CF58" s="100"/>
      <c r="CH58" s="9" t="s">
        <v>138</v>
      </c>
      <c r="CI58" s="13" t="s">
        <v>100</v>
      </c>
      <c r="CJ58" s="11">
        <v>2720000</v>
      </c>
      <c r="CK58" s="12">
        <v>0</v>
      </c>
      <c r="CL58" s="99">
        <f>CJ58+CK58</f>
        <v>2720000</v>
      </c>
      <c r="CM58" s="100"/>
      <c r="CO58" s="9" t="s">
        <v>252</v>
      </c>
      <c r="CP58" s="13" t="s">
        <v>215</v>
      </c>
      <c r="CQ58" s="11">
        <v>4000000</v>
      </c>
      <c r="CR58" s="12" t="s">
        <v>211</v>
      </c>
      <c r="CS58" s="99">
        <v>4000000</v>
      </c>
      <c r="CT58" s="100"/>
      <c r="CV58" s="54" t="s">
        <v>138</v>
      </c>
      <c r="CW58" s="58" t="s">
        <v>100</v>
      </c>
      <c r="CX58" s="56">
        <v>3000000</v>
      </c>
      <c r="CY58" s="57">
        <v>0</v>
      </c>
      <c r="CZ58" s="93">
        <f t="shared" si="154"/>
        <v>3000000</v>
      </c>
      <c r="DA58" s="94"/>
      <c r="DC58" s="9" t="s">
        <v>138</v>
      </c>
      <c r="DD58" s="13" t="s">
        <v>100</v>
      </c>
      <c r="DE58" s="11">
        <v>943888.88888888841</v>
      </c>
      <c r="DF58" s="12">
        <f>DE58*0.19</f>
        <v>179338.88888888879</v>
      </c>
      <c r="DG58" s="99">
        <f t="shared" si="165"/>
        <v>1123227.7777777773</v>
      </c>
      <c r="DH58" s="100"/>
      <c r="DJ58" s="70" t="s">
        <v>138</v>
      </c>
      <c r="DK58" s="71" t="s">
        <v>100</v>
      </c>
      <c r="DL58" s="72">
        <f t="shared" ref="DL58:DL59" si="166">+MAX(F58,M58,T58,AA58,AH58,AO58,AV58,BC58,BJ58,BQ58,CE58,CL58,CS58,CZ58,DG58)</f>
        <v>5800000</v>
      </c>
      <c r="DM58" s="72">
        <f t="shared" ref="DM58:DM59" si="167">+MIN(F58,M58,T58,AA58,AH58,AO58,AV58,BC58,BJ58,BQ58,CE58,CL58,CS58,CZ58,DG58)</f>
        <v>724500</v>
      </c>
      <c r="DN58" s="72">
        <f t="shared" ref="DN58:DN59" si="168">+AVERAGE(F58,M58,T58,AA58,AH58,AO58,AV58,BC58,BJ58,BQ58,CE58,CL58,CS58,CZ58,DG58)</f>
        <v>2734728.3185738395</v>
      </c>
      <c r="DO58" s="72">
        <f>+TRIMMEAN((F58,M58,T58,AA58,AH58,AO58,AV58,BC58,BJ58,BQ58,CE58,CL58,CS58,CZ58,DG58),(2/15))</f>
        <v>2653571.1368159684</v>
      </c>
      <c r="DP58" s="72">
        <f t="shared" ref="DP58:DP59" si="169">+MEDIAN(F58,M58,T58,AA58,AH58,AO58,AV58,BC58,BJ58,BQ58,CE58,CL58,CS58,CZ58,DG58)</f>
        <v>2470000</v>
      </c>
      <c r="DQ58" s="86" t="str">
        <f t="shared" ref="DQ58:DQ59" si="170">IFERROR(MODE(F58,M58,T58,AA58,AH58,AO58,AV58,BC58,BJ58,BQ58,CE58,CL58,CS58,CZ58,DG58),"N/A")</f>
        <v>N/A</v>
      </c>
      <c r="DR58" s="88">
        <f>+STDEV(F58,M58,T58,AA58,AH58,AO58,AV58,BC58,BJ58,BQ58,CE58,CL58,CS58,CZ58,DG58)/DN58</f>
        <v>0.53073732344707647</v>
      </c>
      <c r="DS58" t="s">
        <v>176</v>
      </c>
      <c r="DT58" t="s">
        <v>165</v>
      </c>
    </row>
    <row r="59" spans="1:124" ht="17" customHeight="1" thickBot="1" x14ac:dyDescent="0.25">
      <c r="A59" s="169"/>
      <c r="B59" s="9" t="s">
        <v>139</v>
      </c>
      <c r="C59" s="14" t="s">
        <v>102</v>
      </c>
      <c r="D59" s="11">
        <v>1854000</v>
      </c>
      <c r="E59" s="12">
        <f t="shared" si="155"/>
        <v>352260</v>
      </c>
      <c r="F59" s="99">
        <f t="shared" si="156"/>
        <v>2206260</v>
      </c>
      <c r="G59" s="100"/>
      <c r="I59" s="9" t="s">
        <v>139</v>
      </c>
      <c r="J59" s="14" t="s">
        <v>102</v>
      </c>
      <c r="K59" s="11">
        <v>2717084</v>
      </c>
      <c r="L59" s="12">
        <v>0</v>
      </c>
      <c r="M59" s="99">
        <f t="shared" si="157"/>
        <v>2717084</v>
      </c>
      <c r="N59" s="100"/>
      <c r="P59" s="9" t="s">
        <v>139</v>
      </c>
      <c r="Q59" s="14" t="s">
        <v>102</v>
      </c>
      <c r="R59" s="11">
        <v>2400000</v>
      </c>
      <c r="S59" s="12">
        <v>0</v>
      </c>
      <c r="T59" s="155">
        <f>+R59+S59</f>
        <v>2400000</v>
      </c>
      <c r="U59" s="156"/>
      <c r="W59" s="9" t="s">
        <v>139</v>
      </c>
      <c r="X59" s="14" t="s">
        <v>102</v>
      </c>
      <c r="Y59" s="11">
        <v>1627012</v>
      </c>
      <c r="Z59" s="12">
        <v>0</v>
      </c>
      <c r="AA59" s="114">
        <f t="shared" si="158"/>
        <v>1627012</v>
      </c>
      <c r="AB59" s="115"/>
      <c r="AD59" s="9" t="s">
        <v>139</v>
      </c>
      <c r="AE59" s="14" t="s">
        <v>102</v>
      </c>
      <c r="AF59" s="11">
        <v>1534200</v>
      </c>
      <c r="AG59" s="12">
        <v>0</v>
      </c>
      <c r="AH59" s="99">
        <f t="shared" si="159"/>
        <v>1534200</v>
      </c>
      <c r="AI59" s="100"/>
      <c r="AK59" s="9" t="s">
        <v>139</v>
      </c>
      <c r="AL59" s="14" t="s">
        <v>102</v>
      </c>
      <c r="AM59" s="11">
        <v>1449000000</v>
      </c>
      <c r="AN59" s="12">
        <v>0</v>
      </c>
      <c r="AO59" s="114">
        <f>+AM59/2001</f>
        <v>724137.93103448278</v>
      </c>
      <c r="AP59" s="115"/>
      <c r="AR59" s="9" t="s">
        <v>139</v>
      </c>
      <c r="AS59" s="14" t="s">
        <v>102</v>
      </c>
      <c r="AT59" s="11">
        <v>1650737.6119026605</v>
      </c>
      <c r="AU59" s="12">
        <v>0</v>
      </c>
      <c r="AV59" s="114">
        <f t="shared" si="160"/>
        <v>1650737.6119026605</v>
      </c>
      <c r="AW59" s="115"/>
      <c r="AY59" s="54" t="s">
        <v>139</v>
      </c>
      <c r="AZ59" s="59" t="s">
        <v>102</v>
      </c>
      <c r="BA59" s="56">
        <v>4464283</v>
      </c>
      <c r="BB59" s="57">
        <v>0</v>
      </c>
      <c r="BC59" s="93">
        <f t="shared" si="152"/>
        <v>4464283</v>
      </c>
      <c r="BD59" s="94"/>
      <c r="BF59" s="34" t="s">
        <v>139</v>
      </c>
      <c r="BG59" s="39" t="s">
        <v>102</v>
      </c>
      <c r="BH59" s="36">
        <v>5700000</v>
      </c>
      <c r="BI59" s="37">
        <v>0</v>
      </c>
      <c r="BJ59" s="142">
        <f t="shared" si="161"/>
        <v>5700000</v>
      </c>
      <c r="BK59" s="143"/>
      <c r="BM59" s="54" t="s">
        <v>139</v>
      </c>
      <c r="BN59" s="59" t="s">
        <v>102</v>
      </c>
      <c r="BO59" s="56">
        <v>4626144.9521893803</v>
      </c>
      <c r="BP59" s="57">
        <v>0</v>
      </c>
      <c r="BQ59" s="93">
        <f t="shared" si="153"/>
        <v>4626144.9521893803</v>
      </c>
      <c r="BR59" s="94"/>
      <c r="BT59" s="9" t="s">
        <v>139</v>
      </c>
      <c r="BU59" s="14" t="s">
        <v>102</v>
      </c>
      <c r="BV59" s="11">
        <v>0</v>
      </c>
      <c r="BW59" s="12">
        <v>0</v>
      </c>
      <c r="BX59" s="151">
        <f t="shared" si="162"/>
        <v>0</v>
      </c>
      <c r="BY59" s="152"/>
      <c r="CA59" s="9" t="s">
        <v>139</v>
      </c>
      <c r="CB59" s="14" t="s">
        <v>102</v>
      </c>
      <c r="CC59" s="11">
        <v>1500000</v>
      </c>
      <c r="CD59" s="12">
        <f t="shared" si="163"/>
        <v>285000</v>
      </c>
      <c r="CE59" s="99">
        <f t="shared" si="164"/>
        <v>1785000</v>
      </c>
      <c r="CF59" s="100"/>
      <c r="CH59" s="9" t="s">
        <v>139</v>
      </c>
      <c r="CI59" s="14" t="s">
        <v>102</v>
      </c>
      <c r="CJ59" s="11">
        <v>2700000</v>
      </c>
      <c r="CK59" s="12">
        <v>0</v>
      </c>
      <c r="CL59" s="99">
        <f>CJ59+CK59</f>
        <v>2700000</v>
      </c>
      <c r="CM59" s="100"/>
      <c r="CO59" s="9" t="s">
        <v>253</v>
      </c>
      <c r="CP59" s="14" t="s">
        <v>217</v>
      </c>
      <c r="CQ59" s="11">
        <v>3800000</v>
      </c>
      <c r="CR59" s="12" t="s">
        <v>211</v>
      </c>
      <c r="CS59" s="99">
        <v>3800000</v>
      </c>
      <c r="CT59" s="100"/>
      <c r="CV59" s="54" t="s">
        <v>139</v>
      </c>
      <c r="CW59" s="59" t="s">
        <v>102</v>
      </c>
      <c r="CX59" s="56">
        <v>3000000</v>
      </c>
      <c r="CY59" s="57">
        <v>0</v>
      </c>
      <c r="CZ59" s="93">
        <f t="shared" si="154"/>
        <v>3000000</v>
      </c>
      <c r="DA59" s="94"/>
      <c r="DC59" s="9" t="s">
        <v>139</v>
      </c>
      <c r="DD59" s="14" t="s">
        <v>102</v>
      </c>
      <c r="DE59" s="11">
        <v>943888.88888888841</v>
      </c>
      <c r="DF59" s="12">
        <f>DE59*0.19</f>
        <v>179338.88888888879</v>
      </c>
      <c r="DG59" s="99">
        <f t="shared" si="165"/>
        <v>1123227.7777777773</v>
      </c>
      <c r="DH59" s="100"/>
      <c r="DJ59" s="70" t="s">
        <v>139</v>
      </c>
      <c r="DK59" s="71" t="s">
        <v>102</v>
      </c>
      <c r="DL59" s="72">
        <f t="shared" si="166"/>
        <v>5700000</v>
      </c>
      <c r="DM59" s="72">
        <f t="shared" si="167"/>
        <v>724137.93103448278</v>
      </c>
      <c r="DN59" s="72">
        <f t="shared" si="168"/>
        <v>2670539.1515269531</v>
      </c>
      <c r="DO59" s="72">
        <f>+TRIMMEAN((F59,M59,T59,AA59,AH59,AO59,AV59,BC59,BJ59,BQ59,CE59,CL59,CS59,CZ59,DG59),(2/15))</f>
        <v>2587226.8724515243</v>
      </c>
      <c r="DP59" s="72">
        <f t="shared" si="169"/>
        <v>2400000</v>
      </c>
      <c r="DQ59" s="86" t="str">
        <f t="shared" si="170"/>
        <v>N/A</v>
      </c>
      <c r="DR59" s="88">
        <f>+STDEV(F59,M59,T59,AA59,AH59,AO59,AV59,BC59,BJ59,BQ59,CE59,CL59,CS59,CZ59,DG59)/DN59</f>
        <v>0.53222667278164248</v>
      </c>
      <c r="DS59" t="s">
        <v>176</v>
      </c>
      <c r="DT59" t="s">
        <v>165</v>
      </c>
    </row>
    <row r="60" spans="1:124" ht="76" thickBot="1" x14ac:dyDescent="0.25">
      <c r="A60" s="1" t="s">
        <v>140</v>
      </c>
      <c r="B60" s="103" t="s">
        <v>141</v>
      </c>
      <c r="C60" s="104"/>
      <c r="D60" s="104"/>
      <c r="E60" s="105"/>
      <c r="F60" s="18" t="s">
        <v>3</v>
      </c>
      <c r="G60" s="19" t="s">
        <v>93</v>
      </c>
      <c r="I60" s="103" t="s">
        <v>141</v>
      </c>
      <c r="J60" s="104"/>
      <c r="K60" s="104"/>
      <c r="L60" s="105"/>
      <c r="M60" s="18" t="s">
        <v>3</v>
      </c>
      <c r="N60" s="19" t="s">
        <v>93</v>
      </c>
      <c r="P60" s="15" t="s">
        <v>141</v>
      </c>
      <c r="Q60" s="16"/>
      <c r="R60" s="16"/>
      <c r="S60" s="17"/>
      <c r="T60" s="18" t="s">
        <v>3</v>
      </c>
      <c r="U60" s="19" t="s">
        <v>93</v>
      </c>
      <c r="W60" s="103" t="s">
        <v>141</v>
      </c>
      <c r="X60" s="104"/>
      <c r="Y60" s="104"/>
      <c r="Z60" s="105"/>
      <c r="AA60" s="18" t="s">
        <v>3</v>
      </c>
      <c r="AB60" s="19" t="s">
        <v>93</v>
      </c>
      <c r="AD60" s="103" t="s">
        <v>141</v>
      </c>
      <c r="AE60" s="104"/>
      <c r="AF60" s="104"/>
      <c r="AG60" s="105"/>
      <c r="AH60" s="18" t="s">
        <v>3</v>
      </c>
      <c r="AI60" s="19" t="s">
        <v>93</v>
      </c>
      <c r="AK60" s="103" t="s">
        <v>141</v>
      </c>
      <c r="AL60" s="104"/>
      <c r="AM60" s="104"/>
      <c r="AN60" s="105"/>
      <c r="AO60" s="18" t="s">
        <v>3</v>
      </c>
      <c r="AP60" s="19" t="s">
        <v>93</v>
      </c>
      <c r="AR60" s="103" t="s">
        <v>141</v>
      </c>
      <c r="AS60" s="104"/>
      <c r="AT60" s="104"/>
      <c r="AU60" s="105"/>
      <c r="AV60" s="18" t="s">
        <v>3</v>
      </c>
      <c r="AW60" s="19" t="s">
        <v>93</v>
      </c>
      <c r="AY60" s="95" t="s">
        <v>141</v>
      </c>
      <c r="AZ60" s="96"/>
      <c r="BA60" s="96"/>
      <c r="BB60" s="97"/>
      <c r="BC60" s="60" t="s">
        <v>3</v>
      </c>
      <c r="BD60" s="61" t="s">
        <v>93</v>
      </c>
      <c r="BF60" s="144" t="s">
        <v>141</v>
      </c>
      <c r="BG60" s="145"/>
      <c r="BH60" s="145"/>
      <c r="BI60" s="146"/>
      <c r="BJ60" s="40" t="s">
        <v>3</v>
      </c>
      <c r="BK60" s="41" t="s">
        <v>93</v>
      </c>
      <c r="BM60" s="95" t="s">
        <v>141</v>
      </c>
      <c r="BN60" s="96"/>
      <c r="BO60" s="96"/>
      <c r="BP60" s="97"/>
      <c r="BQ60" s="60" t="s">
        <v>3</v>
      </c>
      <c r="BR60" s="61" t="s">
        <v>93</v>
      </c>
      <c r="BT60" s="103" t="s">
        <v>141</v>
      </c>
      <c r="BU60" s="104"/>
      <c r="BV60" s="104"/>
      <c r="BW60" s="105"/>
      <c r="BX60" s="18" t="s">
        <v>3</v>
      </c>
      <c r="BY60" s="19" t="s">
        <v>93</v>
      </c>
      <c r="CA60" s="103" t="s">
        <v>141</v>
      </c>
      <c r="CB60" s="104"/>
      <c r="CC60" s="104"/>
      <c r="CD60" s="105"/>
      <c r="CE60" s="18" t="s">
        <v>3</v>
      </c>
      <c r="CF60" s="19" t="s">
        <v>93</v>
      </c>
      <c r="CH60" s="103" t="s">
        <v>141</v>
      </c>
      <c r="CI60" s="104"/>
      <c r="CJ60" s="104"/>
      <c r="CK60" s="105"/>
      <c r="CL60" s="18" t="s">
        <v>3</v>
      </c>
      <c r="CM60" s="19" t="s">
        <v>93</v>
      </c>
      <c r="CO60" s="103" t="s">
        <v>254</v>
      </c>
      <c r="CP60" s="104"/>
      <c r="CQ60" s="104"/>
      <c r="CR60" s="105"/>
      <c r="CS60" s="18" t="s">
        <v>202</v>
      </c>
      <c r="CT60" s="19" t="s">
        <v>203</v>
      </c>
      <c r="CV60" s="95" t="s">
        <v>141</v>
      </c>
      <c r="CW60" s="96"/>
      <c r="CX60" s="96"/>
      <c r="CY60" s="97"/>
      <c r="CZ60" s="60" t="s">
        <v>3</v>
      </c>
      <c r="DA60" s="61" t="s">
        <v>93</v>
      </c>
      <c r="DC60" s="103" t="s">
        <v>141</v>
      </c>
      <c r="DD60" s="104"/>
      <c r="DE60" s="104"/>
      <c r="DF60" s="105"/>
      <c r="DG60" s="18" t="s">
        <v>3</v>
      </c>
      <c r="DH60" s="19" t="s">
        <v>93</v>
      </c>
    </row>
    <row r="61" spans="1:124" ht="46" thickBot="1" x14ac:dyDescent="0.25">
      <c r="A61" s="3" t="s">
        <v>5</v>
      </c>
      <c r="B61" s="20" t="s">
        <v>6</v>
      </c>
      <c r="C61" s="20" t="s">
        <v>7</v>
      </c>
      <c r="D61" s="20" t="s">
        <v>8</v>
      </c>
      <c r="E61" s="21" t="s">
        <v>9</v>
      </c>
      <c r="F61" s="106" t="s">
        <v>21</v>
      </c>
      <c r="G61" s="107"/>
      <c r="I61" s="20" t="s">
        <v>6</v>
      </c>
      <c r="J61" s="20" t="s">
        <v>7</v>
      </c>
      <c r="K61" s="20" t="s">
        <v>8</v>
      </c>
      <c r="L61" s="21" t="s">
        <v>9</v>
      </c>
      <c r="M61" s="106" t="s">
        <v>21</v>
      </c>
      <c r="N61" s="107"/>
      <c r="P61" s="20" t="s">
        <v>6</v>
      </c>
      <c r="Q61" s="20" t="s">
        <v>7</v>
      </c>
      <c r="R61" s="20" t="s">
        <v>8</v>
      </c>
      <c r="S61" s="21" t="s">
        <v>9</v>
      </c>
      <c r="T61" s="22" t="s">
        <v>21</v>
      </c>
      <c r="U61" s="23"/>
      <c r="W61" s="20" t="s">
        <v>6</v>
      </c>
      <c r="X61" s="20" t="s">
        <v>7</v>
      </c>
      <c r="Y61" s="20" t="s">
        <v>8</v>
      </c>
      <c r="Z61" s="21" t="s">
        <v>9</v>
      </c>
      <c r="AA61" s="106" t="s">
        <v>21</v>
      </c>
      <c r="AB61" s="107"/>
      <c r="AD61" s="20" t="s">
        <v>6</v>
      </c>
      <c r="AE61" s="20" t="s">
        <v>7</v>
      </c>
      <c r="AF61" s="20" t="s">
        <v>8</v>
      </c>
      <c r="AG61" s="21" t="s">
        <v>9</v>
      </c>
      <c r="AH61" s="106" t="s">
        <v>21</v>
      </c>
      <c r="AI61" s="107"/>
      <c r="AK61" s="20" t="s">
        <v>6</v>
      </c>
      <c r="AL61" s="20" t="s">
        <v>7</v>
      </c>
      <c r="AM61" s="20" t="s">
        <v>8</v>
      </c>
      <c r="AN61" s="21" t="s">
        <v>9</v>
      </c>
      <c r="AO61" s="106" t="s">
        <v>21</v>
      </c>
      <c r="AP61" s="107"/>
      <c r="AR61" s="20" t="s">
        <v>6</v>
      </c>
      <c r="AS61" s="20" t="s">
        <v>7</v>
      </c>
      <c r="AT61" s="20" t="s">
        <v>8</v>
      </c>
      <c r="AU61" s="21" t="s">
        <v>9</v>
      </c>
      <c r="AV61" s="106" t="s">
        <v>21</v>
      </c>
      <c r="AW61" s="107"/>
      <c r="AY61" s="52" t="s">
        <v>6</v>
      </c>
      <c r="AZ61" s="52" t="s">
        <v>7</v>
      </c>
      <c r="BA61" s="52" t="s">
        <v>8</v>
      </c>
      <c r="BB61" s="53" t="s">
        <v>9</v>
      </c>
      <c r="BC61" s="98" t="s">
        <v>21</v>
      </c>
      <c r="BD61" s="97"/>
      <c r="BF61" s="42" t="s">
        <v>6</v>
      </c>
      <c r="BG61" s="42" t="s">
        <v>7</v>
      </c>
      <c r="BH61" s="42" t="s">
        <v>8</v>
      </c>
      <c r="BI61" s="43" t="s">
        <v>9</v>
      </c>
      <c r="BJ61" s="147" t="s">
        <v>21</v>
      </c>
      <c r="BK61" s="148"/>
      <c r="BM61" s="52" t="s">
        <v>6</v>
      </c>
      <c r="BN61" s="52" t="s">
        <v>7</v>
      </c>
      <c r="BO61" s="52" t="s">
        <v>8</v>
      </c>
      <c r="BP61" s="53" t="s">
        <v>9</v>
      </c>
      <c r="BQ61" s="98" t="s">
        <v>21</v>
      </c>
      <c r="BR61" s="97"/>
      <c r="BT61" s="20" t="s">
        <v>6</v>
      </c>
      <c r="BU61" s="20" t="s">
        <v>7</v>
      </c>
      <c r="BV61" s="20" t="s">
        <v>8</v>
      </c>
      <c r="BW61" s="21" t="s">
        <v>9</v>
      </c>
      <c r="BX61" s="106" t="s">
        <v>21</v>
      </c>
      <c r="BY61" s="107"/>
      <c r="CA61" s="20" t="s">
        <v>6</v>
      </c>
      <c r="CB61" s="20" t="s">
        <v>7</v>
      </c>
      <c r="CC61" s="20" t="s">
        <v>8</v>
      </c>
      <c r="CD61" s="21" t="s">
        <v>9</v>
      </c>
      <c r="CE61" s="106" t="s">
        <v>21</v>
      </c>
      <c r="CF61" s="107"/>
      <c r="CH61" s="20" t="s">
        <v>6</v>
      </c>
      <c r="CI61" s="20" t="s">
        <v>7</v>
      </c>
      <c r="CJ61" s="20" t="s">
        <v>8</v>
      </c>
      <c r="CK61" s="21" t="s">
        <v>9</v>
      </c>
      <c r="CL61" s="106" t="s">
        <v>21</v>
      </c>
      <c r="CM61" s="107"/>
      <c r="CO61" s="20" t="s">
        <v>204</v>
      </c>
      <c r="CP61" s="20" t="s">
        <v>205</v>
      </c>
      <c r="CQ61" s="20" t="s">
        <v>206</v>
      </c>
      <c r="CR61" s="21" t="s">
        <v>207</v>
      </c>
      <c r="CS61" s="106" t="s">
        <v>208</v>
      </c>
      <c r="CT61" s="107"/>
      <c r="CV61" s="52" t="s">
        <v>6</v>
      </c>
      <c r="CW61" s="52" t="s">
        <v>7</v>
      </c>
      <c r="CX61" s="52" t="s">
        <v>8</v>
      </c>
      <c r="CY61" s="53" t="s">
        <v>9</v>
      </c>
      <c r="CZ61" s="98" t="s">
        <v>21</v>
      </c>
      <c r="DA61" s="97"/>
      <c r="DC61" s="20" t="s">
        <v>6</v>
      </c>
      <c r="DD61" s="20" t="s">
        <v>7</v>
      </c>
      <c r="DE61" s="20" t="s">
        <v>8</v>
      </c>
      <c r="DF61" s="21" t="s">
        <v>9</v>
      </c>
      <c r="DG61" s="106" t="s">
        <v>21</v>
      </c>
      <c r="DH61" s="107"/>
      <c r="DJ61" s="68" t="s">
        <v>6</v>
      </c>
      <c r="DK61" s="68" t="s">
        <v>7</v>
      </c>
      <c r="DL61" s="69" t="s">
        <v>268</v>
      </c>
      <c r="DM61" s="69" t="s">
        <v>269</v>
      </c>
      <c r="DN61" s="69" t="s">
        <v>270</v>
      </c>
      <c r="DO61" s="69" t="s">
        <v>273</v>
      </c>
      <c r="DP61" s="69" t="s">
        <v>271</v>
      </c>
      <c r="DQ61" s="69" t="s">
        <v>272</v>
      </c>
      <c r="DS61" s="92" t="s">
        <v>291</v>
      </c>
      <c r="DT61" s="92" t="s">
        <v>292</v>
      </c>
    </row>
    <row r="62" spans="1:124" ht="17" customHeight="1" thickBot="1" x14ac:dyDescent="0.25">
      <c r="A62" s="167" t="s">
        <v>94</v>
      </c>
      <c r="B62" s="9" t="s">
        <v>142</v>
      </c>
      <c r="C62" s="10" t="s">
        <v>96</v>
      </c>
      <c r="D62" s="11">
        <v>3210000</v>
      </c>
      <c r="E62" s="12">
        <f>(D62*19)/100</f>
        <v>609900</v>
      </c>
      <c r="F62" s="99">
        <f>D62+E62</f>
        <v>3819900</v>
      </c>
      <c r="G62" s="100"/>
      <c r="I62" s="9" t="s">
        <v>142</v>
      </c>
      <c r="J62" s="10" t="s">
        <v>96</v>
      </c>
      <c r="K62" s="11">
        <v>2548000</v>
      </c>
      <c r="L62" s="12">
        <v>0</v>
      </c>
      <c r="M62" s="99">
        <f>K62+L62</f>
        <v>2548000</v>
      </c>
      <c r="N62" s="100"/>
      <c r="P62" s="9" t="s">
        <v>142</v>
      </c>
      <c r="Q62" s="10" t="s">
        <v>96</v>
      </c>
      <c r="R62" s="11">
        <v>2650000</v>
      </c>
      <c r="S62" s="12">
        <v>0</v>
      </c>
      <c r="T62" s="155">
        <f>+R62+S62</f>
        <v>2650000</v>
      </c>
      <c r="U62" s="156"/>
      <c r="W62" s="9" t="s">
        <v>142</v>
      </c>
      <c r="X62" s="10" t="s">
        <v>96</v>
      </c>
      <c r="Y62" s="11">
        <v>1900000</v>
      </c>
      <c r="Z62" s="12">
        <v>0</v>
      </c>
      <c r="AA62" s="114">
        <f>Y62+Z62</f>
        <v>1900000</v>
      </c>
      <c r="AB62" s="115"/>
      <c r="AD62" s="9" t="s">
        <v>142</v>
      </c>
      <c r="AE62" s="10" t="s">
        <v>96</v>
      </c>
      <c r="AF62" s="11">
        <v>1730400</v>
      </c>
      <c r="AG62" s="12">
        <v>0</v>
      </c>
      <c r="AH62" s="99">
        <f>AF62+AG62</f>
        <v>1730400</v>
      </c>
      <c r="AI62" s="100"/>
      <c r="AK62" s="9" t="s">
        <v>142</v>
      </c>
      <c r="AL62" s="10" t="s">
        <v>96</v>
      </c>
      <c r="AM62" s="11">
        <v>770700000</v>
      </c>
      <c r="AN62" s="12">
        <v>0</v>
      </c>
      <c r="AO62" s="114">
        <f>+AM62/700</f>
        <v>1101000</v>
      </c>
      <c r="AP62" s="115"/>
      <c r="AR62" s="9" t="s">
        <v>142</v>
      </c>
      <c r="AS62" s="10" t="s">
        <v>96</v>
      </c>
      <c r="AT62" s="11">
        <v>1666921.3139801375</v>
      </c>
      <c r="AU62" s="12">
        <v>0</v>
      </c>
      <c r="AV62" s="114">
        <f>AT62+AU62</f>
        <v>1666921.3139801375</v>
      </c>
      <c r="AW62" s="115"/>
      <c r="AY62" s="54" t="s">
        <v>142</v>
      </c>
      <c r="AZ62" s="55" t="s">
        <v>96</v>
      </c>
      <c r="BA62" s="56">
        <v>1897962</v>
      </c>
      <c r="BB62" s="57">
        <v>0</v>
      </c>
      <c r="BC62" s="93">
        <f t="shared" ref="BC62:BC65" si="171">BA62+BB62</f>
        <v>1897962</v>
      </c>
      <c r="BD62" s="94"/>
      <c r="BF62" s="34" t="s">
        <v>142</v>
      </c>
      <c r="BG62" s="35" t="s">
        <v>96</v>
      </c>
      <c r="BH62" s="36">
        <v>6790000</v>
      </c>
      <c r="BI62" s="37">
        <v>0</v>
      </c>
      <c r="BJ62" s="142">
        <f>BH62+BI62</f>
        <v>6790000</v>
      </c>
      <c r="BK62" s="143"/>
      <c r="BM62" s="54" t="s">
        <v>142</v>
      </c>
      <c r="BN62" s="55" t="s">
        <v>96</v>
      </c>
      <c r="BO62" s="56">
        <v>1966724.8742028566</v>
      </c>
      <c r="BP62" s="57">
        <v>0</v>
      </c>
      <c r="BQ62" s="93">
        <f t="shared" ref="BQ62:BQ65" si="172">BO62+BP62</f>
        <v>1966724.8742028566</v>
      </c>
      <c r="BR62" s="94"/>
      <c r="BT62" s="9" t="s">
        <v>142</v>
      </c>
      <c r="BU62" s="10" t="s">
        <v>189</v>
      </c>
      <c r="BV62" s="11">
        <v>365948000</v>
      </c>
      <c r="BW62" s="12">
        <v>0</v>
      </c>
      <c r="BX62" s="161">
        <f>+BV62/245</f>
        <v>1493665.306122449</v>
      </c>
      <c r="BY62" s="162"/>
      <c r="CA62" s="9" t="s">
        <v>142</v>
      </c>
      <c r="CB62" s="10" t="s">
        <v>96</v>
      </c>
      <c r="CC62" s="11">
        <v>1800000</v>
      </c>
      <c r="CD62" s="12">
        <f>CC62*0.19</f>
        <v>342000</v>
      </c>
      <c r="CE62" s="99">
        <f>CC62+CD62</f>
        <v>2142000</v>
      </c>
      <c r="CF62" s="100"/>
      <c r="CH62" s="9" t="s">
        <v>142</v>
      </c>
      <c r="CI62" s="10" t="s">
        <v>96</v>
      </c>
      <c r="CJ62" s="11">
        <v>3000000</v>
      </c>
      <c r="CK62" s="12">
        <v>0</v>
      </c>
      <c r="CL62" s="99">
        <f>CJ62+CK62</f>
        <v>3000000</v>
      </c>
      <c r="CM62" s="100"/>
      <c r="CO62" s="9" t="s">
        <v>255</v>
      </c>
      <c r="CP62" s="10" t="s">
        <v>210</v>
      </c>
      <c r="CQ62" s="11">
        <v>5200000</v>
      </c>
      <c r="CR62" s="12" t="s">
        <v>211</v>
      </c>
      <c r="CS62" s="99">
        <f>+CQ62</f>
        <v>5200000</v>
      </c>
      <c r="CT62" s="100"/>
      <c r="CV62" s="54" t="s">
        <v>142</v>
      </c>
      <c r="CW62" s="55" t="s">
        <v>96</v>
      </c>
      <c r="CX62" s="56">
        <v>3000000</v>
      </c>
      <c r="CY62" s="57">
        <v>0</v>
      </c>
      <c r="CZ62" s="93">
        <f t="shared" ref="CZ62:CZ65" si="173">CX62+CY62</f>
        <v>3000000</v>
      </c>
      <c r="DA62" s="94"/>
      <c r="DC62" s="9" t="s">
        <v>142</v>
      </c>
      <c r="DD62" s="10" t="s">
        <v>96</v>
      </c>
      <c r="DE62" s="11">
        <v>2008888.8888888834</v>
      </c>
      <c r="DF62" s="12">
        <f>DE62*0.19</f>
        <v>381688.88888888783</v>
      </c>
      <c r="DG62" s="99">
        <f>DE62+DF62</f>
        <v>2390577.7777777715</v>
      </c>
      <c r="DH62" s="100"/>
      <c r="DJ62" s="70" t="s">
        <v>142</v>
      </c>
      <c r="DK62" s="71" t="s">
        <v>96</v>
      </c>
      <c r="DL62" s="72">
        <f>+MAX(F62,M62,T62,AA62,AH62,AO62,AV62,BC62,BJ62,BQ62,BX62,CE62,CL62,CS62,CZ62,DG62)</f>
        <v>6790000</v>
      </c>
      <c r="DM62" s="72">
        <f>+MIN(F62,M62,T62,AA62,AH62,AO62,AV62,BC62,BJ62,BQ62,BX62,CE62,CL62,CS62,CZ62,DG62)</f>
        <v>1101000</v>
      </c>
      <c r="DN62" s="72">
        <f>+AVERAGE(F62,M62,T62,AA62,AH62,AO62,AV62,BC62,BJ62,BQ62,BX62,CE62,CL62,CS62,CZ62,DG62)</f>
        <v>2706071.954505201</v>
      </c>
      <c r="DO62" s="72">
        <f>+TRIMMEAN((F62,M62,T62,AA62,AH62,AO62,AV62,BC62,BJ62,BQ62,BX62,CE62,CL62,CS62,CZ62,DG62),(2/16))</f>
        <v>2529010.8051488013</v>
      </c>
      <c r="DP62" s="72">
        <f>+MEDIAN(F62,M62,T62,AA62,AH62,AO62,AV62,BC62,BJ62,BQ62,BX62,CE62,CL62,CS62,CZ62,DG62)</f>
        <v>2266288.8888888857</v>
      </c>
      <c r="DQ62" s="72">
        <f>IFERROR(MODE(F62,M62,T62,AA62,AH62,AO62,AV62,BC62,BJ62,BQ62,BX62,CE62,CL62,CS62,CZ62,DG62),"N/A")</f>
        <v>3000000</v>
      </c>
      <c r="DR62" s="88">
        <f>+STDEV(F62,M62,T62,AA62,AH62,AO62,AV62,BC62,BJ62,BQ62,BX62,CE62,CL62,CS62,CZ62,DG62)/DN62</f>
        <v>0.54549122838210229</v>
      </c>
      <c r="DS62" t="s">
        <v>176</v>
      </c>
      <c r="DT62" t="s">
        <v>165</v>
      </c>
    </row>
    <row r="63" spans="1:124" ht="17" thickBot="1" x14ac:dyDescent="0.25">
      <c r="A63" s="168"/>
      <c r="B63" s="9" t="s">
        <v>143</v>
      </c>
      <c r="C63" s="13" t="s">
        <v>98</v>
      </c>
      <c r="D63" s="11">
        <v>2252000</v>
      </c>
      <c r="E63" s="12">
        <f t="shared" ref="E63:E65" si="174">(D63*19)/100</f>
        <v>427880</v>
      </c>
      <c r="F63" s="99">
        <f t="shared" ref="F63:F65" si="175">D63+E63</f>
        <v>2679880</v>
      </c>
      <c r="G63" s="100"/>
      <c r="I63" s="9" t="s">
        <v>143</v>
      </c>
      <c r="J63" s="13" t="s">
        <v>98</v>
      </c>
      <c r="K63" s="11">
        <v>2527616</v>
      </c>
      <c r="L63" s="12">
        <v>0</v>
      </c>
      <c r="M63" s="99">
        <f t="shared" ref="M63:M65" si="176">K63+L63</f>
        <v>2527616</v>
      </c>
      <c r="N63" s="100"/>
      <c r="P63" s="9" t="s">
        <v>143</v>
      </c>
      <c r="Q63" s="13" t="s">
        <v>98</v>
      </c>
      <c r="R63" s="11">
        <v>2590000</v>
      </c>
      <c r="S63" s="12">
        <v>0</v>
      </c>
      <c r="T63" s="155">
        <f>+R63+S63</f>
        <v>2590000</v>
      </c>
      <c r="U63" s="156"/>
      <c r="W63" s="9" t="s">
        <v>143</v>
      </c>
      <c r="X63" s="13" t="s">
        <v>98</v>
      </c>
      <c r="Y63" s="11">
        <v>1085000</v>
      </c>
      <c r="Z63" s="12">
        <v>0</v>
      </c>
      <c r="AA63" s="114">
        <f t="shared" ref="AA63:AA65" si="177">Y63+Z63</f>
        <v>1085000</v>
      </c>
      <c r="AB63" s="115"/>
      <c r="AD63" s="9" t="s">
        <v>143</v>
      </c>
      <c r="AE63" s="13" t="s">
        <v>98</v>
      </c>
      <c r="AF63" s="11">
        <v>1648600</v>
      </c>
      <c r="AG63" s="12">
        <v>0</v>
      </c>
      <c r="AH63" s="99">
        <f t="shared" ref="AH63:AH65" si="178">AF63+AG63</f>
        <v>1648600</v>
      </c>
      <c r="AI63" s="100"/>
      <c r="AK63" s="9" t="s">
        <v>143</v>
      </c>
      <c r="AL63" s="13" t="s">
        <v>98</v>
      </c>
      <c r="AM63" s="11">
        <v>1397200000</v>
      </c>
      <c r="AN63" s="12">
        <v>0</v>
      </c>
      <c r="AO63" s="114">
        <f>+AM63/1400</f>
        <v>998000</v>
      </c>
      <c r="AP63" s="115"/>
      <c r="AR63" s="9" t="s">
        <v>143</v>
      </c>
      <c r="AS63" s="13" t="s">
        <v>98</v>
      </c>
      <c r="AT63" s="11">
        <v>1618370.2077477062</v>
      </c>
      <c r="AU63" s="12">
        <v>0</v>
      </c>
      <c r="AV63" s="114">
        <f t="shared" ref="AV63:AV65" si="179">AT63+AU63</f>
        <v>1618370.2077477062</v>
      </c>
      <c r="AW63" s="115"/>
      <c r="AY63" s="54" t="s">
        <v>143</v>
      </c>
      <c r="AZ63" s="58" t="s">
        <v>98</v>
      </c>
      <c r="BA63" s="56">
        <v>1837457</v>
      </c>
      <c r="BB63" s="57">
        <v>0</v>
      </c>
      <c r="BC63" s="93">
        <f t="shared" si="171"/>
        <v>1837457</v>
      </c>
      <c r="BD63" s="94"/>
      <c r="BF63" s="34" t="s">
        <v>143</v>
      </c>
      <c r="BG63" s="38" t="s">
        <v>98</v>
      </c>
      <c r="BH63" s="36">
        <v>5800000</v>
      </c>
      <c r="BI63" s="37">
        <v>0</v>
      </c>
      <c r="BJ63" s="142">
        <f t="shared" ref="BJ63:BJ65" si="180">BH63+BI63</f>
        <v>5800000</v>
      </c>
      <c r="BK63" s="143"/>
      <c r="BM63" s="54" t="s">
        <v>143</v>
      </c>
      <c r="BN63" s="58" t="s">
        <v>98</v>
      </c>
      <c r="BO63" s="56">
        <v>1904029.6390041879</v>
      </c>
      <c r="BP63" s="57">
        <v>0</v>
      </c>
      <c r="BQ63" s="93">
        <f t="shared" si="172"/>
        <v>1904029.6390041879</v>
      </c>
      <c r="BR63" s="94"/>
      <c r="BT63" s="9" t="s">
        <v>143</v>
      </c>
      <c r="BU63" s="13" t="s">
        <v>98</v>
      </c>
      <c r="BV63" s="11">
        <v>0</v>
      </c>
      <c r="BW63" s="12">
        <v>0</v>
      </c>
      <c r="BX63" s="151">
        <f t="shared" ref="BX63:BX65" si="181">BV63+BW63</f>
        <v>0</v>
      </c>
      <c r="BY63" s="152"/>
      <c r="CA63" s="9" t="s">
        <v>143</v>
      </c>
      <c r="CB63" s="13" t="s">
        <v>98</v>
      </c>
      <c r="CC63" s="11">
        <v>1700000</v>
      </c>
      <c r="CD63" s="12">
        <f t="shared" ref="CD63:CD65" si="182">CC63*0.19</f>
        <v>323000</v>
      </c>
      <c r="CE63" s="99">
        <f t="shared" ref="CE63:CE65" si="183">CC63+CD63</f>
        <v>2023000</v>
      </c>
      <c r="CF63" s="100"/>
      <c r="CH63" s="9" t="s">
        <v>143</v>
      </c>
      <c r="CI63" s="13" t="s">
        <v>98</v>
      </c>
      <c r="CJ63" s="11">
        <v>2800000</v>
      </c>
      <c r="CK63" s="12">
        <v>0</v>
      </c>
      <c r="CL63" s="99">
        <f>CJ63+CK63</f>
        <v>2800000</v>
      </c>
      <c r="CM63" s="100"/>
      <c r="CO63" s="9" t="s">
        <v>256</v>
      </c>
      <c r="CP63" s="13" t="s">
        <v>213</v>
      </c>
      <c r="CQ63" s="11">
        <v>4400000</v>
      </c>
      <c r="CR63" s="12" t="s">
        <v>211</v>
      </c>
      <c r="CS63" s="99">
        <v>4400000</v>
      </c>
      <c r="CT63" s="100"/>
      <c r="CV63" s="54" t="s">
        <v>143</v>
      </c>
      <c r="CW63" s="58" t="s">
        <v>98</v>
      </c>
      <c r="CX63" s="56">
        <v>3000000</v>
      </c>
      <c r="CY63" s="57">
        <v>0</v>
      </c>
      <c r="CZ63" s="93">
        <f t="shared" si="173"/>
        <v>3000000</v>
      </c>
      <c r="DA63" s="94"/>
      <c r="DC63" s="9" t="s">
        <v>143</v>
      </c>
      <c r="DD63" s="13" t="s">
        <v>98</v>
      </c>
      <c r="DE63" s="11">
        <v>943888.88888888841</v>
      </c>
      <c r="DF63" s="12">
        <f>DE63*0.19</f>
        <v>179338.88888888879</v>
      </c>
      <c r="DG63" s="99">
        <f t="shared" ref="DG63:DG65" si="184">DE63+DF63</f>
        <v>1123227.7777777773</v>
      </c>
      <c r="DH63" s="100"/>
      <c r="DJ63" s="70" t="s">
        <v>143</v>
      </c>
      <c r="DK63" s="71" t="s">
        <v>98</v>
      </c>
      <c r="DL63" s="72">
        <f>+MAX(F63,M63,T63,AA63,AH63,AO63,AV63,BC63,BJ63,BQ63,CE63,CL63,CS63,CZ63,DG63)</f>
        <v>5800000</v>
      </c>
      <c r="DM63" s="72">
        <f>+MIN(F63,M63,T63,AA63,AH63,AO63,AV63,BC63,BJ63,BQ63,CE63,CL63,CS63,CZ63,DG63)</f>
        <v>998000</v>
      </c>
      <c r="DN63" s="72">
        <f>+AVERAGE(F63,M63,T63,AA63,AH63,AO63,AV63,BC63,BJ63,BQ63,CE63,CL63,CS63,CZ63,DG63)</f>
        <v>2402345.3749686452</v>
      </c>
      <c r="DO63" s="72">
        <f>+TRIMMEAN((F63,M63,T63,AA63,AH63,AO63,AV63,BC63,BJ63,BQ63,CE63,CL63,CS63,CZ63,DG63),(2/15))</f>
        <v>2249013.8941945899</v>
      </c>
      <c r="DP63" s="72">
        <f>+MEDIAN(F63,M63,T63,AA63,AH63,AO63,AV63,BC63,BJ63,BQ63,CE63,CL63,CS63,CZ63,DG63)</f>
        <v>2023000</v>
      </c>
      <c r="DQ63" s="86" t="str">
        <f>IFERROR(MODE(F63,M63,T63,AA63,AH63,AO63,AV63,BC63,BJ63,BQ63,CE63,CL63,CS63,CZ63,DG63),"N/A")</f>
        <v>N/A</v>
      </c>
      <c r="DR63" s="88">
        <f>+STDEV(F63,M63,T63,AA63,AH63,AO63,AV63,BC63,BJ63,BQ63,CE63,CL63,CS63,CZ63,DG63)/DN63</f>
        <v>0.5383371942433185</v>
      </c>
      <c r="DS63" t="s">
        <v>176</v>
      </c>
      <c r="DT63" t="s">
        <v>165</v>
      </c>
    </row>
    <row r="64" spans="1:124" ht="17" thickBot="1" x14ac:dyDescent="0.25">
      <c r="A64" s="168"/>
      <c r="B64" s="9" t="s">
        <v>144</v>
      </c>
      <c r="C64" s="13" t="s">
        <v>100</v>
      </c>
      <c r="D64" s="11">
        <v>1916000</v>
      </c>
      <c r="E64" s="12">
        <f t="shared" si="174"/>
        <v>364040</v>
      </c>
      <c r="F64" s="99">
        <f t="shared" si="175"/>
        <v>2280040</v>
      </c>
      <c r="G64" s="100"/>
      <c r="I64" s="9" t="s">
        <v>144</v>
      </c>
      <c r="J64" s="13" t="s">
        <v>100</v>
      </c>
      <c r="K64" s="11">
        <v>2519972.0000000005</v>
      </c>
      <c r="L64" s="12">
        <v>0</v>
      </c>
      <c r="M64" s="99">
        <f t="shared" si="176"/>
        <v>2519972.0000000005</v>
      </c>
      <c r="N64" s="100"/>
      <c r="P64" s="9" t="s">
        <v>144</v>
      </c>
      <c r="Q64" s="13" t="s">
        <v>100</v>
      </c>
      <c r="R64" s="11">
        <v>2470000</v>
      </c>
      <c r="S64" s="12">
        <v>0</v>
      </c>
      <c r="T64" s="155">
        <f>+R64+S64</f>
        <v>2470000</v>
      </c>
      <c r="U64" s="156"/>
      <c r="W64" s="9" t="s">
        <v>144</v>
      </c>
      <c r="X64" s="13" t="s">
        <v>100</v>
      </c>
      <c r="Y64" s="11">
        <v>1714750</v>
      </c>
      <c r="Z64" s="12">
        <v>0</v>
      </c>
      <c r="AA64" s="114">
        <f t="shared" si="177"/>
        <v>1714750</v>
      </c>
      <c r="AB64" s="115"/>
      <c r="AD64" s="9" t="s">
        <v>144</v>
      </c>
      <c r="AE64" s="13" t="s">
        <v>100</v>
      </c>
      <c r="AF64" s="11">
        <v>1566900</v>
      </c>
      <c r="AG64" s="12">
        <v>0</v>
      </c>
      <c r="AH64" s="99">
        <f t="shared" si="178"/>
        <v>1566900</v>
      </c>
      <c r="AI64" s="100"/>
      <c r="AK64" s="9" t="s">
        <v>144</v>
      </c>
      <c r="AL64" s="13" t="s">
        <v>100</v>
      </c>
      <c r="AM64" s="11">
        <v>1449000000</v>
      </c>
      <c r="AN64" s="12">
        <v>0</v>
      </c>
      <c r="AO64" s="114">
        <f>+AM64/2000</f>
        <v>724500</v>
      </c>
      <c r="AP64" s="115"/>
      <c r="AR64" s="9" t="s">
        <v>144</v>
      </c>
      <c r="AS64" s="13" t="s">
        <v>100</v>
      </c>
      <c r="AT64" s="11">
        <v>1602808.9557501322</v>
      </c>
      <c r="AU64" s="12">
        <v>0</v>
      </c>
      <c r="AV64" s="114">
        <f t="shared" si="179"/>
        <v>1602808.9557501322</v>
      </c>
      <c r="AW64" s="115"/>
      <c r="AY64" s="54" t="s">
        <v>144</v>
      </c>
      <c r="AZ64" s="58" t="s">
        <v>100</v>
      </c>
      <c r="BA64" s="56">
        <v>1770679</v>
      </c>
      <c r="BB64" s="57">
        <v>0</v>
      </c>
      <c r="BC64" s="93">
        <f t="shared" si="171"/>
        <v>1770679</v>
      </c>
      <c r="BD64" s="94"/>
      <c r="BF64" s="34" t="s">
        <v>144</v>
      </c>
      <c r="BG64" s="38" t="s">
        <v>100</v>
      </c>
      <c r="BH64" s="36">
        <v>5800000</v>
      </c>
      <c r="BI64" s="37">
        <v>0</v>
      </c>
      <c r="BJ64" s="142">
        <f t="shared" si="180"/>
        <v>5800000</v>
      </c>
      <c r="BK64" s="143"/>
      <c r="BM64" s="54" t="s">
        <v>144</v>
      </c>
      <c r="BN64" s="58" t="s">
        <v>100</v>
      </c>
      <c r="BO64" s="56">
        <v>1834851.7846224715</v>
      </c>
      <c r="BP64" s="57">
        <v>0</v>
      </c>
      <c r="BQ64" s="93">
        <f t="shared" si="172"/>
        <v>1834851.7846224715</v>
      </c>
      <c r="BR64" s="94"/>
      <c r="BT64" s="9" t="s">
        <v>144</v>
      </c>
      <c r="BU64" s="13" t="s">
        <v>100</v>
      </c>
      <c r="BV64" s="11">
        <v>0</v>
      </c>
      <c r="BW64" s="12">
        <v>0</v>
      </c>
      <c r="BX64" s="151">
        <f t="shared" si="181"/>
        <v>0</v>
      </c>
      <c r="BY64" s="152"/>
      <c r="CA64" s="9" t="s">
        <v>144</v>
      </c>
      <c r="CB64" s="13" t="s">
        <v>100</v>
      </c>
      <c r="CC64" s="11">
        <v>1600000</v>
      </c>
      <c r="CD64" s="12">
        <f t="shared" si="182"/>
        <v>304000</v>
      </c>
      <c r="CE64" s="99">
        <f t="shared" si="183"/>
        <v>1904000</v>
      </c>
      <c r="CF64" s="100"/>
      <c r="CH64" s="9" t="s">
        <v>144</v>
      </c>
      <c r="CI64" s="13" t="s">
        <v>100</v>
      </c>
      <c r="CJ64" s="11">
        <v>2720000</v>
      </c>
      <c r="CK64" s="12">
        <v>0</v>
      </c>
      <c r="CL64" s="99">
        <f>CJ64+CK64</f>
        <v>2720000</v>
      </c>
      <c r="CM64" s="100"/>
      <c r="CO64" s="9" t="s">
        <v>257</v>
      </c>
      <c r="CP64" s="13" t="s">
        <v>215</v>
      </c>
      <c r="CQ64" s="11">
        <v>4000000</v>
      </c>
      <c r="CR64" s="12" t="s">
        <v>211</v>
      </c>
      <c r="CS64" s="99">
        <v>4000000</v>
      </c>
      <c r="CT64" s="100"/>
      <c r="CV64" s="54" t="s">
        <v>144</v>
      </c>
      <c r="CW64" s="58" t="s">
        <v>100</v>
      </c>
      <c r="CX64" s="56">
        <v>3000000</v>
      </c>
      <c r="CY64" s="57">
        <v>0</v>
      </c>
      <c r="CZ64" s="93">
        <f t="shared" si="173"/>
        <v>3000000</v>
      </c>
      <c r="DA64" s="94"/>
      <c r="DC64" s="9" t="s">
        <v>144</v>
      </c>
      <c r="DD64" s="13" t="s">
        <v>100</v>
      </c>
      <c r="DE64" s="11">
        <v>943888.88888888841</v>
      </c>
      <c r="DF64" s="12">
        <f>DE64*0.19</f>
        <v>179338.88888888879</v>
      </c>
      <c r="DG64" s="99">
        <f t="shared" si="184"/>
        <v>1123227.7777777773</v>
      </c>
      <c r="DH64" s="100"/>
      <c r="DJ64" s="70" t="s">
        <v>144</v>
      </c>
      <c r="DK64" s="71" t="s">
        <v>100</v>
      </c>
      <c r="DL64" s="72">
        <f t="shared" ref="DL64:DL65" si="185">+MAX(F64,M64,T64,AA64,AH64,AO64,AV64,BC64,BJ64,BQ64,CE64,CL64,CS64,CZ64,DG64)</f>
        <v>5800000</v>
      </c>
      <c r="DM64" s="72">
        <f t="shared" ref="DM64:DM65" si="186">+MIN(F64,M64,T64,AA64,AH64,AO64,AV64,BC64,BJ64,BQ64,CE64,CL64,CS64,CZ64,DG64)</f>
        <v>724500</v>
      </c>
      <c r="DN64" s="72">
        <f t="shared" ref="DN64:DN65" si="187">+AVERAGE(F64,M64,T64,AA64,AH64,AO64,AV64,BC64,BJ64,BQ64,CE64,CL64,CS64,CZ64,DG64)</f>
        <v>2335448.6345433583</v>
      </c>
      <c r="DO64" s="72">
        <f>+TRIMMEAN((F64,M64,T64,AA64,AH64,AO64,AV64,BC64,BJ64,BQ64,CE64,CL64,CS64,CZ64,DG64),(2/15))</f>
        <v>2192863.8090884909</v>
      </c>
      <c r="DP64" s="72">
        <f t="shared" ref="DP64:DP65" si="188">+MEDIAN(F64,M64,T64,AA64,AH64,AO64,AV64,BC64,BJ64,BQ64,CE64,CL64,CS64,CZ64,DG64)</f>
        <v>1904000</v>
      </c>
      <c r="DQ64" s="86" t="str">
        <f t="shared" ref="DQ64:DQ65" si="189">IFERROR(MODE(F64,M64,T64,AA64,AH64,AO64,AV64,BC64,BJ64,BQ64,CE64,CL64,CS64,CZ64,DG64),"N/A")</f>
        <v>N/A</v>
      </c>
      <c r="DR64" s="88">
        <f>+STDEV(F64,M64,T64,AA64,AH64,AO64,AV64,BC64,BJ64,BQ64,CE64,CL64,CS64,CZ64,DG64)/DN64</f>
        <v>0.53371750631884751</v>
      </c>
      <c r="DS64" t="s">
        <v>176</v>
      </c>
      <c r="DT64" t="s">
        <v>165</v>
      </c>
    </row>
    <row r="65" spans="1:124" ht="17" customHeight="1" thickBot="1" x14ac:dyDescent="0.25">
      <c r="A65" s="169"/>
      <c r="B65" s="9" t="s">
        <v>145</v>
      </c>
      <c r="C65" s="14" t="s">
        <v>102</v>
      </c>
      <c r="D65" s="11">
        <v>1854000</v>
      </c>
      <c r="E65" s="12">
        <f t="shared" si="174"/>
        <v>352260</v>
      </c>
      <c r="F65" s="99">
        <f t="shared" si="175"/>
        <v>2206260</v>
      </c>
      <c r="G65" s="100"/>
      <c r="I65" s="9" t="s">
        <v>145</v>
      </c>
      <c r="J65" s="14" t="s">
        <v>102</v>
      </c>
      <c r="K65" s="11">
        <v>2471560</v>
      </c>
      <c r="L65" s="12">
        <v>0</v>
      </c>
      <c r="M65" s="99">
        <f t="shared" si="176"/>
        <v>2471560</v>
      </c>
      <c r="N65" s="100"/>
      <c r="P65" s="9" t="s">
        <v>145</v>
      </c>
      <c r="Q65" s="14" t="s">
        <v>102</v>
      </c>
      <c r="R65" s="11">
        <v>2400000</v>
      </c>
      <c r="S65" s="12">
        <v>0</v>
      </c>
      <c r="T65" s="155">
        <f>+R65+S65</f>
        <v>2400000</v>
      </c>
      <c r="U65" s="156"/>
      <c r="W65" s="9" t="s">
        <v>145</v>
      </c>
      <c r="X65" s="14" t="s">
        <v>102</v>
      </c>
      <c r="Y65" s="11">
        <v>1627012</v>
      </c>
      <c r="Z65" s="12">
        <v>0</v>
      </c>
      <c r="AA65" s="114">
        <f t="shared" si="177"/>
        <v>1627012</v>
      </c>
      <c r="AB65" s="115"/>
      <c r="AD65" s="9" t="s">
        <v>145</v>
      </c>
      <c r="AE65" s="14" t="s">
        <v>102</v>
      </c>
      <c r="AF65" s="11">
        <v>1534200</v>
      </c>
      <c r="AG65" s="12">
        <v>0</v>
      </c>
      <c r="AH65" s="99">
        <f t="shared" si="178"/>
        <v>1534200</v>
      </c>
      <c r="AI65" s="100"/>
      <c r="AK65" s="9" t="s">
        <v>145</v>
      </c>
      <c r="AL65" s="14" t="s">
        <v>102</v>
      </c>
      <c r="AM65" s="11">
        <v>1449000000</v>
      </c>
      <c r="AN65" s="12">
        <v>0</v>
      </c>
      <c r="AO65" s="114">
        <f>+AM65/2001</f>
        <v>724137.93103448278</v>
      </c>
      <c r="AP65" s="115"/>
      <c r="AR65" s="9" t="s">
        <v>145</v>
      </c>
      <c r="AS65" s="14" t="s">
        <v>102</v>
      </c>
      <c r="AT65" s="11">
        <v>1587544.1085525118</v>
      </c>
      <c r="AU65" s="12">
        <v>0</v>
      </c>
      <c r="AV65" s="114">
        <f t="shared" si="179"/>
        <v>1587544.1085525118</v>
      </c>
      <c r="AW65" s="115"/>
      <c r="AY65" s="54" t="s">
        <v>145</v>
      </c>
      <c r="AZ65" s="59" t="s">
        <v>102</v>
      </c>
      <c r="BA65" s="56">
        <v>1688847</v>
      </c>
      <c r="BB65" s="57">
        <v>0</v>
      </c>
      <c r="BC65" s="93">
        <f t="shared" si="171"/>
        <v>1688847</v>
      </c>
      <c r="BD65" s="94"/>
      <c r="BF65" s="34" t="s">
        <v>145</v>
      </c>
      <c r="BG65" s="39" t="s">
        <v>102</v>
      </c>
      <c r="BH65" s="36">
        <v>5700000</v>
      </c>
      <c r="BI65" s="37">
        <v>0</v>
      </c>
      <c r="BJ65" s="142">
        <f t="shared" si="180"/>
        <v>5700000</v>
      </c>
      <c r="BK65" s="143"/>
      <c r="BM65" s="54" t="s">
        <v>145</v>
      </c>
      <c r="BN65" s="59" t="s">
        <v>102</v>
      </c>
      <c r="BO65" s="56">
        <v>1750071.4670274139</v>
      </c>
      <c r="BP65" s="57">
        <v>0</v>
      </c>
      <c r="BQ65" s="93">
        <f t="shared" si="172"/>
        <v>1750071.4670274139</v>
      </c>
      <c r="BR65" s="94"/>
      <c r="BT65" s="9" t="s">
        <v>145</v>
      </c>
      <c r="BU65" s="14" t="s">
        <v>102</v>
      </c>
      <c r="BV65" s="11">
        <v>0</v>
      </c>
      <c r="BW65" s="12">
        <v>0</v>
      </c>
      <c r="BX65" s="151">
        <f t="shared" si="181"/>
        <v>0</v>
      </c>
      <c r="BY65" s="152"/>
      <c r="CA65" s="9" t="s">
        <v>145</v>
      </c>
      <c r="CB65" s="14" t="s">
        <v>102</v>
      </c>
      <c r="CC65" s="11">
        <v>1500000</v>
      </c>
      <c r="CD65" s="12">
        <f t="shared" si="182"/>
        <v>285000</v>
      </c>
      <c r="CE65" s="99">
        <f t="shared" si="183"/>
        <v>1785000</v>
      </c>
      <c r="CF65" s="100"/>
      <c r="CH65" s="9" t="s">
        <v>145</v>
      </c>
      <c r="CI65" s="14" t="s">
        <v>102</v>
      </c>
      <c r="CJ65" s="11">
        <v>2700000</v>
      </c>
      <c r="CK65" s="12">
        <v>0</v>
      </c>
      <c r="CL65" s="99">
        <f>CJ65+CK65</f>
        <v>2700000</v>
      </c>
      <c r="CM65" s="100"/>
      <c r="CO65" s="9" t="s">
        <v>258</v>
      </c>
      <c r="CP65" s="14" t="s">
        <v>217</v>
      </c>
      <c r="CQ65" s="11">
        <v>3800000</v>
      </c>
      <c r="CR65" s="12" t="s">
        <v>211</v>
      </c>
      <c r="CS65" s="99">
        <v>3800000</v>
      </c>
      <c r="CT65" s="100"/>
      <c r="CV65" s="54" t="s">
        <v>145</v>
      </c>
      <c r="CW65" s="59" t="s">
        <v>102</v>
      </c>
      <c r="CX65" s="56">
        <v>3000000</v>
      </c>
      <c r="CY65" s="57">
        <v>0</v>
      </c>
      <c r="CZ65" s="93">
        <f t="shared" si="173"/>
        <v>3000000</v>
      </c>
      <c r="DA65" s="94"/>
      <c r="DC65" s="9" t="s">
        <v>145</v>
      </c>
      <c r="DD65" s="14" t="s">
        <v>102</v>
      </c>
      <c r="DE65" s="11">
        <v>943888.88888888841</v>
      </c>
      <c r="DF65" s="12">
        <f>DE65*0.19</f>
        <v>179338.88888888879</v>
      </c>
      <c r="DG65" s="99">
        <f t="shared" si="184"/>
        <v>1123227.7777777773</v>
      </c>
      <c r="DH65" s="100"/>
      <c r="DJ65" s="70" t="s">
        <v>145</v>
      </c>
      <c r="DK65" s="71" t="s">
        <v>102</v>
      </c>
      <c r="DL65" s="72">
        <f t="shared" si="185"/>
        <v>5700000</v>
      </c>
      <c r="DM65" s="72">
        <f t="shared" si="186"/>
        <v>724137.93103448278</v>
      </c>
      <c r="DN65" s="72">
        <f t="shared" si="187"/>
        <v>2273190.6856261459</v>
      </c>
      <c r="DO65" s="72">
        <f>+TRIMMEAN((F65,M65,T65,AA65,AH65,AO65,AV65,BC65,BJ65,BQ65,CE65,CL65,CS65,CZ65,DG65),(2/15))</f>
        <v>2128747.8733352078</v>
      </c>
      <c r="DP65" s="72">
        <f t="shared" si="188"/>
        <v>1785000</v>
      </c>
      <c r="DQ65" s="86" t="str">
        <f t="shared" si="189"/>
        <v>N/A</v>
      </c>
      <c r="DR65" s="88">
        <f>+STDEV(F65,M65,T65,AA65,AH65,AO65,AV65,BC65,BJ65,BQ65,CE65,CL65,CS65,CZ65,DG65)/DN65</f>
        <v>0.53689764792213746</v>
      </c>
      <c r="DS65" t="s">
        <v>176</v>
      </c>
      <c r="DT65" t="s">
        <v>165</v>
      </c>
    </row>
    <row r="66" spans="1:124" ht="76" thickBot="1" x14ac:dyDescent="0.25">
      <c r="A66" s="1" t="s">
        <v>140</v>
      </c>
      <c r="B66" s="103" t="s">
        <v>141</v>
      </c>
      <c r="C66" s="104"/>
      <c r="D66" s="104"/>
      <c r="E66" s="105"/>
      <c r="F66" s="18" t="s">
        <v>3</v>
      </c>
      <c r="G66" s="19" t="s">
        <v>27</v>
      </c>
      <c r="I66" s="103" t="s">
        <v>141</v>
      </c>
      <c r="J66" s="104"/>
      <c r="K66" s="104"/>
      <c r="L66" s="105"/>
      <c r="M66" s="18" t="s">
        <v>3</v>
      </c>
      <c r="N66" s="19" t="s">
        <v>27</v>
      </c>
      <c r="P66" s="15" t="s">
        <v>141</v>
      </c>
      <c r="Q66" s="16"/>
      <c r="R66" s="16"/>
      <c r="S66" s="17"/>
      <c r="T66" s="18" t="s">
        <v>3</v>
      </c>
      <c r="U66" s="19" t="s">
        <v>27</v>
      </c>
      <c r="W66" s="103" t="s">
        <v>141</v>
      </c>
      <c r="X66" s="104"/>
      <c r="Y66" s="104"/>
      <c r="Z66" s="105"/>
      <c r="AA66" s="18" t="s">
        <v>3</v>
      </c>
      <c r="AB66" s="19" t="s">
        <v>27</v>
      </c>
      <c r="AD66" s="103" t="s">
        <v>141</v>
      </c>
      <c r="AE66" s="104"/>
      <c r="AF66" s="104"/>
      <c r="AG66" s="105"/>
      <c r="AH66" s="18" t="s">
        <v>3</v>
      </c>
      <c r="AI66" s="19" t="s">
        <v>27</v>
      </c>
      <c r="AK66" s="103" t="s">
        <v>141</v>
      </c>
      <c r="AL66" s="104"/>
      <c r="AM66" s="104"/>
      <c r="AN66" s="105"/>
      <c r="AO66" s="18" t="s">
        <v>3</v>
      </c>
      <c r="AP66" s="19" t="s">
        <v>27</v>
      </c>
      <c r="AR66" s="103" t="s">
        <v>141</v>
      </c>
      <c r="AS66" s="104"/>
      <c r="AT66" s="104"/>
      <c r="AU66" s="105"/>
      <c r="AV66" s="18" t="s">
        <v>3</v>
      </c>
      <c r="AW66" s="19" t="s">
        <v>27</v>
      </c>
      <c r="AY66" s="95" t="s">
        <v>141</v>
      </c>
      <c r="AZ66" s="96"/>
      <c r="BA66" s="96"/>
      <c r="BB66" s="97"/>
      <c r="BC66" s="60" t="s">
        <v>3</v>
      </c>
      <c r="BD66" s="61" t="s">
        <v>27</v>
      </c>
      <c r="BF66" s="144" t="s">
        <v>141</v>
      </c>
      <c r="BG66" s="145"/>
      <c r="BH66" s="145"/>
      <c r="BI66" s="146"/>
      <c r="BJ66" s="40" t="s">
        <v>3</v>
      </c>
      <c r="BK66" s="41" t="s">
        <v>27</v>
      </c>
      <c r="BM66" s="95" t="s">
        <v>141</v>
      </c>
      <c r="BN66" s="96"/>
      <c r="BO66" s="96"/>
      <c r="BP66" s="97"/>
      <c r="BQ66" s="60" t="s">
        <v>3</v>
      </c>
      <c r="BR66" s="61" t="s">
        <v>27</v>
      </c>
      <c r="BT66" s="103" t="s">
        <v>141</v>
      </c>
      <c r="BU66" s="104"/>
      <c r="BV66" s="104"/>
      <c r="BW66" s="105"/>
      <c r="BX66" s="18" t="s">
        <v>3</v>
      </c>
      <c r="BY66" s="19" t="s">
        <v>27</v>
      </c>
      <c r="CA66" s="103" t="s">
        <v>141</v>
      </c>
      <c r="CB66" s="104"/>
      <c r="CC66" s="104"/>
      <c r="CD66" s="105"/>
      <c r="CE66" s="18" t="s">
        <v>3</v>
      </c>
      <c r="CF66" s="19" t="s">
        <v>27</v>
      </c>
      <c r="CH66" s="103" t="s">
        <v>141</v>
      </c>
      <c r="CI66" s="104"/>
      <c r="CJ66" s="104"/>
      <c r="CK66" s="105"/>
      <c r="CL66" s="18" t="s">
        <v>3</v>
      </c>
      <c r="CM66" s="19" t="s">
        <v>27</v>
      </c>
      <c r="CO66" s="103" t="s">
        <v>254</v>
      </c>
      <c r="CP66" s="104"/>
      <c r="CQ66" s="104"/>
      <c r="CR66" s="105"/>
      <c r="CS66" s="18" t="s">
        <v>202</v>
      </c>
      <c r="CT66" s="19" t="s">
        <v>218</v>
      </c>
      <c r="CV66" s="95" t="s">
        <v>141</v>
      </c>
      <c r="CW66" s="96"/>
      <c r="CX66" s="96"/>
      <c r="CY66" s="97"/>
      <c r="CZ66" s="60" t="s">
        <v>3</v>
      </c>
      <c r="DA66" s="61" t="s">
        <v>27</v>
      </c>
      <c r="DC66" s="103" t="s">
        <v>141</v>
      </c>
      <c r="DD66" s="104"/>
      <c r="DE66" s="104"/>
      <c r="DF66" s="105"/>
      <c r="DG66" s="18" t="s">
        <v>3</v>
      </c>
      <c r="DH66" s="19" t="s">
        <v>27</v>
      </c>
    </row>
    <row r="67" spans="1:124" ht="46" thickBot="1" x14ac:dyDescent="0.25">
      <c r="A67" s="3" t="s">
        <v>5</v>
      </c>
      <c r="B67" s="20" t="s">
        <v>6</v>
      </c>
      <c r="C67" s="20" t="s">
        <v>7</v>
      </c>
      <c r="D67" s="20" t="s">
        <v>8</v>
      </c>
      <c r="E67" s="21" t="s">
        <v>9</v>
      </c>
      <c r="F67" s="106" t="s">
        <v>21</v>
      </c>
      <c r="G67" s="107"/>
      <c r="I67" s="20" t="s">
        <v>6</v>
      </c>
      <c r="J67" s="20" t="s">
        <v>7</v>
      </c>
      <c r="K67" s="20" t="s">
        <v>8</v>
      </c>
      <c r="L67" s="21" t="s">
        <v>9</v>
      </c>
      <c r="M67" s="106" t="s">
        <v>21</v>
      </c>
      <c r="N67" s="107"/>
      <c r="P67" s="20" t="s">
        <v>6</v>
      </c>
      <c r="Q67" s="20" t="s">
        <v>7</v>
      </c>
      <c r="R67" s="20" t="s">
        <v>8</v>
      </c>
      <c r="S67" s="21" t="s">
        <v>9</v>
      </c>
      <c r="T67" s="22" t="s">
        <v>21</v>
      </c>
      <c r="U67" s="23"/>
      <c r="W67" s="20" t="s">
        <v>6</v>
      </c>
      <c r="X67" s="20" t="s">
        <v>7</v>
      </c>
      <c r="Y67" s="20" t="s">
        <v>8</v>
      </c>
      <c r="Z67" s="21" t="s">
        <v>9</v>
      </c>
      <c r="AA67" s="106" t="s">
        <v>21</v>
      </c>
      <c r="AB67" s="107"/>
      <c r="AD67" s="20" t="s">
        <v>6</v>
      </c>
      <c r="AE67" s="20" t="s">
        <v>7</v>
      </c>
      <c r="AF67" s="20" t="s">
        <v>8</v>
      </c>
      <c r="AG67" s="21" t="s">
        <v>9</v>
      </c>
      <c r="AH67" s="106" t="s">
        <v>21</v>
      </c>
      <c r="AI67" s="107"/>
      <c r="AK67" s="20" t="s">
        <v>6</v>
      </c>
      <c r="AL67" s="20" t="s">
        <v>7</v>
      </c>
      <c r="AM67" s="20" t="s">
        <v>8</v>
      </c>
      <c r="AN67" s="21" t="s">
        <v>9</v>
      </c>
      <c r="AO67" s="106" t="s">
        <v>21</v>
      </c>
      <c r="AP67" s="107"/>
      <c r="AR67" s="20" t="s">
        <v>6</v>
      </c>
      <c r="AS67" s="20" t="s">
        <v>7</v>
      </c>
      <c r="AT67" s="20" t="s">
        <v>8</v>
      </c>
      <c r="AU67" s="21" t="s">
        <v>9</v>
      </c>
      <c r="AV67" s="106" t="s">
        <v>21</v>
      </c>
      <c r="AW67" s="107"/>
      <c r="AY67" s="52" t="s">
        <v>6</v>
      </c>
      <c r="AZ67" s="52" t="s">
        <v>7</v>
      </c>
      <c r="BA67" s="52" t="s">
        <v>8</v>
      </c>
      <c r="BB67" s="53" t="s">
        <v>9</v>
      </c>
      <c r="BC67" s="98" t="s">
        <v>21</v>
      </c>
      <c r="BD67" s="97"/>
      <c r="BF67" s="42" t="s">
        <v>6</v>
      </c>
      <c r="BG67" s="42" t="s">
        <v>7</v>
      </c>
      <c r="BH67" s="42" t="s">
        <v>8</v>
      </c>
      <c r="BI67" s="43" t="s">
        <v>9</v>
      </c>
      <c r="BJ67" s="147" t="s">
        <v>21</v>
      </c>
      <c r="BK67" s="148"/>
      <c r="BM67" s="52" t="s">
        <v>6</v>
      </c>
      <c r="BN67" s="52" t="s">
        <v>7</v>
      </c>
      <c r="BO67" s="52" t="s">
        <v>8</v>
      </c>
      <c r="BP67" s="53" t="s">
        <v>9</v>
      </c>
      <c r="BQ67" s="98" t="s">
        <v>21</v>
      </c>
      <c r="BR67" s="97"/>
      <c r="BT67" s="20" t="s">
        <v>6</v>
      </c>
      <c r="BU67" s="20" t="s">
        <v>7</v>
      </c>
      <c r="BV67" s="20" t="s">
        <v>8</v>
      </c>
      <c r="BW67" s="21" t="s">
        <v>9</v>
      </c>
      <c r="BX67" s="106" t="s">
        <v>21</v>
      </c>
      <c r="BY67" s="107"/>
      <c r="CA67" s="20" t="s">
        <v>6</v>
      </c>
      <c r="CB67" s="20" t="s">
        <v>7</v>
      </c>
      <c r="CC67" s="20" t="s">
        <v>8</v>
      </c>
      <c r="CD67" s="21" t="s">
        <v>9</v>
      </c>
      <c r="CE67" s="106" t="s">
        <v>21</v>
      </c>
      <c r="CF67" s="107"/>
      <c r="CH67" s="20" t="s">
        <v>6</v>
      </c>
      <c r="CI67" s="20" t="s">
        <v>7</v>
      </c>
      <c r="CJ67" s="20" t="s">
        <v>8</v>
      </c>
      <c r="CK67" s="21" t="s">
        <v>9</v>
      </c>
      <c r="CL67" s="106" t="s">
        <v>21</v>
      </c>
      <c r="CM67" s="107"/>
      <c r="CO67" s="20" t="s">
        <v>204</v>
      </c>
      <c r="CP67" s="20" t="s">
        <v>205</v>
      </c>
      <c r="CQ67" s="20" t="s">
        <v>206</v>
      </c>
      <c r="CR67" s="21" t="s">
        <v>207</v>
      </c>
      <c r="CS67" s="106" t="s">
        <v>208</v>
      </c>
      <c r="CT67" s="107"/>
      <c r="CV67" s="52" t="s">
        <v>6</v>
      </c>
      <c r="CW67" s="52" t="s">
        <v>7</v>
      </c>
      <c r="CX67" s="52" t="s">
        <v>8</v>
      </c>
      <c r="CY67" s="53" t="s">
        <v>9</v>
      </c>
      <c r="CZ67" s="98" t="s">
        <v>21</v>
      </c>
      <c r="DA67" s="97"/>
      <c r="DC67" s="20" t="s">
        <v>6</v>
      </c>
      <c r="DD67" s="20" t="s">
        <v>7</v>
      </c>
      <c r="DE67" s="20" t="s">
        <v>8</v>
      </c>
      <c r="DF67" s="21" t="s">
        <v>9</v>
      </c>
      <c r="DG67" s="106" t="s">
        <v>21</v>
      </c>
      <c r="DH67" s="107"/>
      <c r="DJ67" s="68" t="s">
        <v>6</v>
      </c>
      <c r="DK67" s="68" t="s">
        <v>7</v>
      </c>
      <c r="DL67" s="69" t="s">
        <v>268</v>
      </c>
      <c r="DM67" s="69" t="s">
        <v>269</v>
      </c>
      <c r="DN67" s="69" t="s">
        <v>270</v>
      </c>
      <c r="DO67" s="69" t="s">
        <v>273</v>
      </c>
      <c r="DP67" s="69" t="s">
        <v>271</v>
      </c>
      <c r="DQ67" s="69" t="s">
        <v>272</v>
      </c>
      <c r="DS67" s="92" t="s">
        <v>291</v>
      </c>
      <c r="DT67" s="92" t="s">
        <v>292</v>
      </c>
    </row>
    <row r="68" spans="1:124" ht="17" customHeight="1" thickBot="1" x14ac:dyDescent="0.25">
      <c r="A68" s="167" t="s">
        <v>94</v>
      </c>
      <c r="B68" s="9" t="s">
        <v>146</v>
      </c>
      <c r="C68" s="10" t="s">
        <v>96</v>
      </c>
      <c r="D68" s="11">
        <v>3210000</v>
      </c>
      <c r="E68" s="12">
        <f>(D68*19)/100</f>
        <v>609900</v>
      </c>
      <c r="F68" s="99">
        <f t="shared" ref="F68:F71" si="190">D68+E68</f>
        <v>3819900</v>
      </c>
      <c r="G68" s="100"/>
      <c r="I68" s="9" t="s">
        <v>146</v>
      </c>
      <c r="J68" s="10" t="s">
        <v>96</v>
      </c>
      <c r="K68" s="11">
        <v>2662660</v>
      </c>
      <c r="L68" s="12">
        <v>0</v>
      </c>
      <c r="M68" s="99">
        <f t="shared" ref="M68:M71" si="191">K68+L68</f>
        <v>2662660</v>
      </c>
      <c r="N68" s="100"/>
      <c r="P68" s="9" t="s">
        <v>146</v>
      </c>
      <c r="Q68" s="10" t="s">
        <v>96</v>
      </c>
      <c r="R68" s="11">
        <v>2650000</v>
      </c>
      <c r="S68" s="12">
        <v>0</v>
      </c>
      <c r="T68" s="155">
        <f>+R68+S68</f>
        <v>2650000</v>
      </c>
      <c r="U68" s="156"/>
      <c r="W68" s="9" t="s">
        <v>146</v>
      </c>
      <c r="X68" s="10" t="s">
        <v>96</v>
      </c>
      <c r="Y68" s="11">
        <v>1900000</v>
      </c>
      <c r="Z68" s="12">
        <v>0</v>
      </c>
      <c r="AA68" s="114">
        <f t="shared" ref="AA68:AA71" si="192">Y68+Z68</f>
        <v>1900000</v>
      </c>
      <c r="AB68" s="115"/>
      <c r="AD68" s="9" t="s">
        <v>146</v>
      </c>
      <c r="AE68" s="10" t="s">
        <v>96</v>
      </c>
      <c r="AF68" s="11">
        <v>1730400</v>
      </c>
      <c r="AG68" s="12">
        <v>0</v>
      </c>
      <c r="AH68" s="99">
        <f t="shared" ref="AH68:AH71" si="193">AF68+AG68</f>
        <v>1730400</v>
      </c>
      <c r="AI68" s="100"/>
      <c r="AK68" s="9" t="s">
        <v>146</v>
      </c>
      <c r="AL68" s="10" t="s">
        <v>96</v>
      </c>
      <c r="AM68" s="11">
        <v>770700000</v>
      </c>
      <c r="AN68" s="12">
        <v>0</v>
      </c>
      <c r="AO68" s="114">
        <f>+AM68/700</f>
        <v>1101000</v>
      </c>
      <c r="AP68" s="115"/>
      <c r="AR68" s="9" t="s">
        <v>146</v>
      </c>
      <c r="AS68" s="10" t="s">
        <v>96</v>
      </c>
      <c r="AT68" s="11">
        <v>1683425.4854056835</v>
      </c>
      <c r="AU68" s="12">
        <v>0</v>
      </c>
      <c r="AV68" s="114">
        <f t="shared" ref="AV68:AV71" si="194">AT68+AU68</f>
        <v>1683425.4854056835</v>
      </c>
      <c r="AW68" s="115"/>
      <c r="AY68" s="54" t="s">
        <v>146</v>
      </c>
      <c r="AZ68" s="55" t="s">
        <v>96</v>
      </c>
      <c r="BA68" s="56">
        <v>2007200</v>
      </c>
      <c r="BB68" s="57">
        <v>0</v>
      </c>
      <c r="BC68" s="93">
        <f t="shared" ref="BC68:BC71" si="195">BA68+BB68</f>
        <v>2007200</v>
      </c>
      <c r="BD68" s="94"/>
      <c r="BF68" s="34" t="s">
        <v>146</v>
      </c>
      <c r="BG68" s="35" t="s">
        <v>96</v>
      </c>
      <c r="BH68" s="36">
        <v>6790000</v>
      </c>
      <c r="BI68" s="37">
        <v>0</v>
      </c>
      <c r="BJ68" s="142">
        <f t="shared" ref="BJ68:BJ71" si="196">BH68+BI68</f>
        <v>6790000</v>
      </c>
      <c r="BK68" s="143"/>
      <c r="BM68" s="54" t="s">
        <v>146</v>
      </c>
      <c r="BN68" s="55" t="s">
        <v>96</v>
      </c>
      <c r="BO68" s="56">
        <v>2079915.7609595193</v>
      </c>
      <c r="BP68" s="57">
        <v>0</v>
      </c>
      <c r="BQ68" s="93">
        <f t="shared" ref="BQ68:BQ71" si="197">BO68+BP68</f>
        <v>2079915.7609595193</v>
      </c>
      <c r="BR68" s="94"/>
      <c r="BT68" s="9" t="s">
        <v>146</v>
      </c>
      <c r="BU68" s="10" t="s">
        <v>190</v>
      </c>
      <c r="BV68" s="11">
        <v>273673000</v>
      </c>
      <c r="BW68" s="12">
        <v>0</v>
      </c>
      <c r="BX68" s="114">
        <f>+BV68/175</f>
        <v>1563845.7142857143</v>
      </c>
      <c r="BY68" s="115"/>
      <c r="CA68" s="9" t="s">
        <v>146</v>
      </c>
      <c r="CB68" s="10" t="s">
        <v>96</v>
      </c>
      <c r="CC68" s="11">
        <v>1800000</v>
      </c>
      <c r="CD68" s="12">
        <f>CC68*0.19</f>
        <v>342000</v>
      </c>
      <c r="CE68" s="99">
        <f t="shared" ref="CE68:CE71" si="198">CC68+CD68</f>
        <v>2142000</v>
      </c>
      <c r="CF68" s="100"/>
      <c r="CH68" s="9" t="s">
        <v>146</v>
      </c>
      <c r="CI68" s="10" t="s">
        <v>96</v>
      </c>
      <c r="CJ68" s="11">
        <v>3000000</v>
      </c>
      <c r="CK68" s="12">
        <v>0</v>
      </c>
      <c r="CL68" s="99">
        <f>CJ68+CK68</f>
        <v>3000000</v>
      </c>
      <c r="CM68" s="100"/>
      <c r="CO68" s="9" t="s">
        <v>259</v>
      </c>
      <c r="CP68" s="10" t="s">
        <v>210</v>
      </c>
      <c r="CQ68" s="11">
        <v>5200000</v>
      </c>
      <c r="CR68" s="12" t="s">
        <v>211</v>
      </c>
      <c r="CS68" s="99">
        <f>+CQ68</f>
        <v>5200000</v>
      </c>
      <c r="CT68" s="100"/>
      <c r="CV68" s="54" t="s">
        <v>146</v>
      </c>
      <c r="CW68" s="55" t="s">
        <v>96</v>
      </c>
      <c r="CX68" s="56">
        <v>3000000</v>
      </c>
      <c r="CY68" s="57">
        <v>0</v>
      </c>
      <c r="CZ68" s="93">
        <f t="shared" ref="CZ68:CZ71" si="199">CX68+CY68</f>
        <v>3000000</v>
      </c>
      <c r="DA68" s="94"/>
      <c r="DC68" s="9" t="s">
        <v>146</v>
      </c>
      <c r="DD68" s="10" t="s">
        <v>96</v>
      </c>
      <c r="DE68" s="11">
        <v>2008888.8888888834</v>
      </c>
      <c r="DF68" s="12">
        <f>DE68*0.19</f>
        <v>381688.88888888783</v>
      </c>
      <c r="DG68" s="99">
        <f t="shared" ref="DG68:DG71" si="200">DE68+DF68</f>
        <v>2390577.7777777715</v>
      </c>
      <c r="DH68" s="100"/>
      <c r="DJ68" s="70" t="s">
        <v>146</v>
      </c>
      <c r="DK68" s="71" t="s">
        <v>96</v>
      </c>
      <c r="DL68" s="72">
        <f>+MAX(F68,M68,T68,AA68,AH68,AO68,AV68,BC68,BJ68,BQ68,BX68,CE68,CL68,CS68,CZ68,DG68)</f>
        <v>6790000</v>
      </c>
      <c r="DM68" s="72">
        <f>+MIN(F68,M68,T68,AA68,AH68,AO68,AV68,BC68,BJ68,BQ68,BX68,CE68,CL68,CS68,CZ68,DG68)</f>
        <v>1101000</v>
      </c>
      <c r="DN68" s="72">
        <f>+AVERAGE(F68,M68,T68,AA68,AH68,AO68,AV68,BC68,BJ68,BQ68,BX68,CE68,CL68,CS68,CZ68,DG68)</f>
        <v>2732557.7961517931</v>
      </c>
      <c r="DO68" s="72">
        <f>+TRIMMEAN((F68,M68,T68,AA68,AH68,AO68,AV68,BC68,BJ68,BQ68,BX68,CE68,CL68,CS68,CZ68,DG68),(2/16))</f>
        <v>2559280.3384591923</v>
      </c>
      <c r="DP68" s="72">
        <f>+MEDIAN(F68,M68,T68,AA68,AH68,AO68,AV68,BC68,BJ68,BQ68,BX68,CE68,CL68,CS68,CZ68,DG68)</f>
        <v>2266288.8888888857</v>
      </c>
      <c r="DQ68" s="72">
        <f>IFERROR(MODE(F68,M68,T68,AA68,AH68,AO68,AV68,BC68,BJ68,BQ68,BX68,CE68,CL68,CS68,CZ68,DG68),"N/A")</f>
        <v>3000000</v>
      </c>
      <c r="DR68" s="88">
        <f>+STDEV(F68,M68,T68,AA68,AH68,AO68,AV68,BC68,BJ68,BQ68,BX68,CE68,CL68,CS68,CZ68,DG68)/DN68</f>
        <v>0.53561633330368164</v>
      </c>
      <c r="DS68" t="s">
        <v>176</v>
      </c>
      <c r="DT68" t="s">
        <v>165</v>
      </c>
    </row>
    <row r="69" spans="1:124" ht="17" thickBot="1" x14ac:dyDescent="0.25">
      <c r="A69" s="168"/>
      <c r="B69" s="9" t="s">
        <v>147</v>
      </c>
      <c r="C69" s="13" t="s">
        <v>98</v>
      </c>
      <c r="D69" s="11">
        <v>2252000</v>
      </c>
      <c r="E69" s="12">
        <f t="shared" ref="E69:E71" si="201">(D69*19)/100</f>
        <v>427880</v>
      </c>
      <c r="F69" s="99">
        <f t="shared" si="190"/>
        <v>2679880</v>
      </c>
      <c r="G69" s="100"/>
      <c r="I69" s="9" t="s">
        <v>147</v>
      </c>
      <c r="J69" s="13" t="s">
        <v>98</v>
      </c>
      <c r="K69" s="11">
        <v>2641358</v>
      </c>
      <c r="L69" s="12">
        <v>0</v>
      </c>
      <c r="M69" s="99">
        <f t="shared" si="191"/>
        <v>2641358</v>
      </c>
      <c r="N69" s="100"/>
      <c r="P69" s="9" t="s">
        <v>147</v>
      </c>
      <c r="Q69" s="13" t="s">
        <v>98</v>
      </c>
      <c r="R69" s="11">
        <v>2590000</v>
      </c>
      <c r="S69" s="12">
        <v>0</v>
      </c>
      <c r="T69" s="155">
        <f>+R69+S69</f>
        <v>2590000</v>
      </c>
      <c r="U69" s="156"/>
      <c r="W69" s="9" t="s">
        <v>147</v>
      </c>
      <c r="X69" s="13" t="s">
        <v>98</v>
      </c>
      <c r="Y69" s="11">
        <v>1085000</v>
      </c>
      <c r="Z69" s="12">
        <v>0</v>
      </c>
      <c r="AA69" s="114">
        <f t="shared" si="192"/>
        <v>1085000</v>
      </c>
      <c r="AB69" s="115"/>
      <c r="AD69" s="9" t="s">
        <v>147</v>
      </c>
      <c r="AE69" s="13" t="s">
        <v>98</v>
      </c>
      <c r="AF69" s="11">
        <v>1648600</v>
      </c>
      <c r="AG69" s="12">
        <v>0</v>
      </c>
      <c r="AH69" s="99">
        <f t="shared" si="193"/>
        <v>1648600</v>
      </c>
      <c r="AI69" s="100"/>
      <c r="AK69" s="9" t="s">
        <v>147</v>
      </c>
      <c r="AL69" s="13" t="s">
        <v>98</v>
      </c>
      <c r="AM69" s="11">
        <v>1397200000</v>
      </c>
      <c r="AN69" s="12">
        <v>0</v>
      </c>
      <c r="AO69" s="114">
        <f>+AM69/1400</f>
        <v>998000</v>
      </c>
      <c r="AP69" s="115"/>
      <c r="AR69" s="9" t="s">
        <v>147</v>
      </c>
      <c r="AS69" s="13" t="s">
        <v>98</v>
      </c>
      <c r="AT69" s="11">
        <v>1650417.1425545916</v>
      </c>
      <c r="AU69" s="12">
        <v>0</v>
      </c>
      <c r="AV69" s="114">
        <f t="shared" si="194"/>
        <v>1650417.1425545916</v>
      </c>
      <c r="AW69" s="115"/>
      <c r="AY69" s="54" t="s">
        <v>147</v>
      </c>
      <c r="AZ69" s="58" t="s">
        <v>98</v>
      </c>
      <c r="BA69" s="56">
        <v>1943896</v>
      </c>
      <c r="BB69" s="57">
        <v>0</v>
      </c>
      <c r="BC69" s="93">
        <f t="shared" si="195"/>
        <v>1943896</v>
      </c>
      <c r="BD69" s="94"/>
      <c r="BF69" s="34" t="s">
        <v>147</v>
      </c>
      <c r="BG69" s="38" t="s">
        <v>98</v>
      </c>
      <c r="BH69" s="36">
        <v>5800000</v>
      </c>
      <c r="BI69" s="37">
        <v>0</v>
      </c>
      <c r="BJ69" s="142">
        <f t="shared" si="196"/>
        <v>5800000</v>
      </c>
      <c r="BK69" s="143"/>
      <c r="BM69" s="54" t="s">
        <v>147</v>
      </c>
      <c r="BN69" s="58" t="s">
        <v>98</v>
      </c>
      <c r="BO69" s="56">
        <v>2014375.4613708374</v>
      </c>
      <c r="BP69" s="57">
        <v>0</v>
      </c>
      <c r="BQ69" s="93">
        <f t="shared" si="197"/>
        <v>2014375.4613708374</v>
      </c>
      <c r="BR69" s="94"/>
      <c r="BT69" s="9" t="s">
        <v>147</v>
      </c>
      <c r="BU69" s="13" t="s">
        <v>98</v>
      </c>
      <c r="BV69" s="11">
        <v>0</v>
      </c>
      <c r="BW69" s="12">
        <v>0</v>
      </c>
      <c r="BX69" s="151">
        <f t="shared" ref="BX69:BX71" si="202">BV69+BW69</f>
        <v>0</v>
      </c>
      <c r="BY69" s="152"/>
      <c r="CA69" s="9" t="s">
        <v>147</v>
      </c>
      <c r="CB69" s="13" t="s">
        <v>98</v>
      </c>
      <c r="CC69" s="11">
        <v>1700000</v>
      </c>
      <c r="CD69" s="12">
        <f t="shared" ref="CD69:CD71" si="203">CC69*0.19</f>
        <v>323000</v>
      </c>
      <c r="CE69" s="99">
        <f t="shared" si="198"/>
        <v>2023000</v>
      </c>
      <c r="CF69" s="100"/>
      <c r="CH69" s="9" t="s">
        <v>147</v>
      </c>
      <c r="CI69" s="13" t="s">
        <v>98</v>
      </c>
      <c r="CJ69" s="11">
        <v>2800000</v>
      </c>
      <c r="CK69" s="12">
        <v>0</v>
      </c>
      <c r="CL69" s="99">
        <f>CJ69+CK69</f>
        <v>2800000</v>
      </c>
      <c r="CM69" s="100"/>
      <c r="CO69" s="9" t="s">
        <v>260</v>
      </c>
      <c r="CP69" s="13" t="s">
        <v>213</v>
      </c>
      <c r="CQ69" s="11">
        <v>4400000</v>
      </c>
      <c r="CR69" s="12" t="s">
        <v>211</v>
      </c>
      <c r="CS69" s="99">
        <v>4400000</v>
      </c>
      <c r="CT69" s="100"/>
      <c r="CV69" s="54" t="s">
        <v>147</v>
      </c>
      <c r="CW69" s="58" t="s">
        <v>98</v>
      </c>
      <c r="CX69" s="56">
        <v>3000000</v>
      </c>
      <c r="CY69" s="57">
        <v>0</v>
      </c>
      <c r="CZ69" s="93">
        <f t="shared" si="199"/>
        <v>3000000</v>
      </c>
      <c r="DA69" s="94"/>
      <c r="DC69" s="9" t="s">
        <v>147</v>
      </c>
      <c r="DD69" s="13" t="s">
        <v>98</v>
      </c>
      <c r="DE69" s="11">
        <v>943888.88888888841</v>
      </c>
      <c r="DF69" s="12">
        <f>DE69*0.19</f>
        <v>179338.88888888879</v>
      </c>
      <c r="DG69" s="99">
        <f t="shared" si="200"/>
        <v>1123227.7777777773</v>
      </c>
      <c r="DH69" s="100"/>
      <c r="DJ69" s="70" t="s">
        <v>147</v>
      </c>
      <c r="DK69" s="71" t="s">
        <v>98</v>
      </c>
      <c r="DL69" s="72">
        <f>+MAX(F69,M69,T69,AA69,AH69,AO69,AV69,BC69,BJ69,BQ69,CE69,CL69,CS69,CZ69,DG69)</f>
        <v>5800000</v>
      </c>
      <c r="DM69" s="72">
        <f>+MIN(F69,M69,T69,AA69,AH69,AO69,AV69,BC69,BJ69,BQ69,CE69,CL69,CS69,CZ69,DG69)</f>
        <v>998000</v>
      </c>
      <c r="DN69" s="72">
        <f>+AVERAGE(F69,M69,T69,AA69,AH69,AO69,AV69,BC69,BJ69,BQ69,CE69,CL69,CS69,CZ69,DG69)</f>
        <v>2426516.9587802137</v>
      </c>
      <c r="DO69" s="72">
        <f>+TRIMMEAN((F69,M69,T69,AA69,AH69,AO69,AV69,BC69,BJ69,BQ69,CE69,CL69,CS69,CZ69,DG69),(2/15))</f>
        <v>2276904.1832079389</v>
      </c>
      <c r="DP69" s="72">
        <f>+MEDIAN(F69,M69,T69,AA69,AH69,AO69,AV69,BC69,BJ69,BQ69,CE69,CL69,CS69,CZ69,DG69)</f>
        <v>2023000</v>
      </c>
      <c r="DQ69" s="86" t="str">
        <f>IFERROR(MODE(F69,M69,T69,AA69,AH69,AO69,AV69,BC69,BJ69,BQ69,CE69,CL69,CS69,CZ69,DG69),"N/A")</f>
        <v>N/A</v>
      </c>
      <c r="DR69" s="88">
        <f>+STDEV(F69,M69,T69,AA69,AH69,AO69,AV69,BC69,BJ69,BQ69,CE69,CL69,CS69,CZ69,DG69)/DN69</f>
        <v>0.53042751211334571</v>
      </c>
      <c r="DS69" t="s">
        <v>176</v>
      </c>
      <c r="DT69" t="s">
        <v>165</v>
      </c>
    </row>
    <row r="70" spans="1:124" ht="17" thickBot="1" x14ac:dyDescent="0.25">
      <c r="A70" s="168"/>
      <c r="B70" s="9" t="s">
        <v>148</v>
      </c>
      <c r="C70" s="13" t="s">
        <v>100</v>
      </c>
      <c r="D70" s="11">
        <v>1916000</v>
      </c>
      <c r="E70" s="12">
        <f t="shared" si="201"/>
        <v>364040</v>
      </c>
      <c r="F70" s="99">
        <f t="shared" si="190"/>
        <v>2280040</v>
      </c>
      <c r="G70" s="100"/>
      <c r="I70" s="9" t="s">
        <v>148</v>
      </c>
      <c r="J70" s="13" t="s">
        <v>100</v>
      </c>
      <c r="K70" s="11">
        <v>2633370</v>
      </c>
      <c r="L70" s="12">
        <v>0</v>
      </c>
      <c r="M70" s="99">
        <f t="shared" si="191"/>
        <v>2633370</v>
      </c>
      <c r="N70" s="100"/>
      <c r="P70" s="9" t="s">
        <v>148</v>
      </c>
      <c r="Q70" s="13" t="s">
        <v>100</v>
      </c>
      <c r="R70" s="11">
        <v>2470000</v>
      </c>
      <c r="S70" s="12">
        <v>0</v>
      </c>
      <c r="T70" s="155">
        <f>+R70+S70</f>
        <v>2470000</v>
      </c>
      <c r="U70" s="156"/>
      <c r="W70" s="9" t="s">
        <v>148</v>
      </c>
      <c r="X70" s="13" t="s">
        <v>100</v>
      </c>
      <c r="Y70" s="11">
        <v>1714750</v>
      </c>
      <c r="Z70" s="12">
        <v>0</v>
      </c>
      <c r="AA70" s="114">
        <f t="shared" si="192"/>
        <v>1714750</v>
      </c>
      <c r="AB70" s="115"/>
      <c r="AD70" s="9" t="s">
        <v>148</v>
      </c>
      <c r="AE70" s="13" t="s">
        <v>100</v>
      </c>
      <c r="AF70" s="11">
        <v>1566900</v>
      </c>
      <c r="AG70" s="12">
        <v>0</v>
      </c>
      <c r="AH70" s="99">
        <f t="shared" si="193"/>
        <v>1566900</v>
      </c>
      <c r="AI70" s="100"/>
      <c r="AK70" s="9" t="s">
        <v>148</v>
      </c>
      <c r="AL70" s="13" t="s">
        <v>100</v>
      </c>
      <c r="AM70" s="11">
        <v>1449000000</v>
      </c>
      <c r="AN70" s="12">
        <v>0</v>
      </c>
      <c r="AO70" s="114">
        <f>+AM70/2000</f>
        <v>724500</v>
      </c>
      <c r="AP70" s="115"/>
      <c r="AR70" s="9" t="s">
        <v>148</v>
      </c>
      <c r="AS70" s="13" t="s">
        <v>100</v>
      </c>
      <c r="AT70" s="11">
        <v>1634393.675151149</v>
      </c>
      <c r="AU70" s="12">
        <v>0</v>
      </c>
      <c r="AV70" s="114">
        <f t="shared" si="194"/>
        <v>1634393.675151149</v>
      </c>
      <c r="AW70" s="115"/>
      <c r="AY70" s="54" t="s">
        <v>148</v>
      </c>
      <c r="AZ70" s="58" t="s">
        <v>100</v>
      </c>
      <c r="BA70" s="56">
        <v>1873258</v>
      </c>
      <c r="BB70" s="57">
        <v>0</v>
      </c>
      <c r="BC70" s="93">
        <f t="shared" si="195"/>
        <v>1873258</v>
      </c>
      <c r="BD70" s="94"/>
      <c r="BF70" s="34" t="s">
        <v>148</v>
      </c>
      <c r="BG70" s="38" t="s">
        <v>100</v>
      </c>
      <c r="BH70" s="36">
        <v>5800000</v>
      </c>
      <c r="BI70" s="37">
        <v>0</v>
      </c>
      <c r="BJ70" s="142">
        <f t="shared" si="196"/>
        <v>5800000</v>
      </c>
      <c r="BK70" s="143"/>
      <c r="BM70" s="54" t="s">
        <v>148</v>
      </c>
      <c r="BN70" s="58" t="s">
        <v>100</v>
      </c>
      <c r="BO70" s="56">
        <v>1941188.4837262623</v>
      </c>
      <c r="BP70" s="57">
        <v>0</v>
      </c>
      <c r="BQ70" s="93">
        <f t="shared" si="197"/>
        <v>1941188.4837262623</v>
      </c>
      <c r="BR70" s="94"/>
      <c r="BT70" s="9" t="s">
        <v>148</v>
      </c>
      <c r="BU70" s="13" t="s">
        <v>100</v>
      </c>
      <c r="BV70" s="11">
        <v>0</v>
      </c>
      <c r="BW70" s="12">
        <v>0</v>
      </c>
      <c r="BX70" s="151">
        <f t="shared" si="202"/>
        <v>0</v>
      </c>
      <c r="BY70" s="152"/>
      <c r="CA70" s="9" t="s">
        <v>148</v>
      </c>
      <c r="CB70" s="13" t="s">
        <v>100</v>
      </c>
      <c r="CC70" s="11">
        <v>1600000</v>
      </c>
      <c r="CD70" s="12">
        <f t="shared" si="203"/>
        <v>304000</v>
      </c>
      <c r="CE70" s="99">
        <f t="shared" si="198"/>
        <v>1904000</v>
      </c>
      <c r="CF70" s="100"/>
      <c r="CH70" s="9" t="s">
        <v>148</v>
      </c>
      <c r="CI70" s="13" t="s">
        <v>100</v>
      </c>
      <c r="CJ70" s="11">
        <v>2720000</v>
      </c>
      <c r="CK70" s="12">
        <v>0</v>
      </c>
      <c r="CL70" s="99">
        <f>CJ70+CK70</f>
        <v>2720000</v>
      </c>
      <c r="CM70" s="100"/>
      <c r="CO70" s="9" t="s">
        <v>261</v>
      </c>
      <c r="CP70" s="13" t="s">
        <v>215</v>
      </c>
      <c r="CQ70" s="11">
        <v>4000000</v>
      </c>
      <c r="CR70" s="12" t="s">
        <v>211</v>
      </c>
      <c r="CS70" s="99">
        <v>4000000</v>
      </c>
      <c r="CT70" s="100"/>
      <c r="CV70" s="54" t="s">
        <v>148</v>
      </c>
      <c r="CW70" s="58" t="s">
        <v>100</v>
      </c>
      <c r="CX70" s="56">
        <v>3000000</v>
      </c>
      <c r="CY70" s="57">
        <v>0</v>
      </c>
      <c r="CZ70" s="93">
        <f t="shared" si="199"/>
        <v>3000000</v>
      </c>
      <c r="DA70" s="94"/>
      <c r="DC70" s="9" t="s">
        <v>148</v>
      </c>
      <c r="DD70" s="13" t="s">
        <v>100</v>
      </c>
      <c r="DE70" s="11">
        <v>943888.88888888841</v>
      </c>
      <c r="DF70" s="12">
        <f>DE70*0.19</f>
        <v>179338.88888888879</v>
      </c>
      <c r="DG70" s="99">
        <f t="shared" si="200"/>
        <v>1123227.7777777773</v>
      </c>
      <c r="DH70" s="100"/>
      <c r="DJ70" s="70" t="s">
        <v>148</v>
      </c>
      <c r="DK70" s="71" t="s">
        <v>100</v>
      </c>
      <c r="DL70" s="72">
        <f t="shared" ref="DL70:DL71" si="204">+MAX(F70,M70,T70,AA70,AH70,AO70,AV70,BC70,BJ70,BQ70,CE70,CL70,CS70,CZ70,DG70)</f>
        <v>5800000</v>
      </c>
      <c r="DM70" s="72">
        <f t="shared" ref="DM70:DM71" si="205">+MIN(F70,M70,T70,AA70,AH70,AO70,AV70,BC70,BJ70,BQ70,CE70,CL70,CS70,CZ70,DG70)</f>
        <v>724500</v>
      </c>
      <c r="DN70" s="72">
        <f t="shared" ref="DN70:DN71" si="206">+AVERAGE(F70,M70,T70,AA70,AH70,AO70,AV70,BC70,BJ70,BQ70,CE70,CL70,CS70,CZ70,DG70)</f>
        <v>2359041.862443679</v>
      </c>
      <c r="DO70" s="72">
        <f>+TRIMMEAN((F70,M70,T70,AA70,AH70,AO70,AV70,BC70,BJ70,BQ70,CE70,CL70,CS70,CZ70,DG70),(2/15))</f>
        <v>2220086.7643580912</v>
      </c>
      <c r="DP70" s="72">
        <f t="shared" ref="DP70:DP71" si="207">+MEDIAN(F70,M70,T70,AA70,AH70,AO70,AV70,BC70,BJ70,BQ70,CE70,CL70,CS70,CZ70,DG70)</f>
        <v>1941188.4837262623</v>
      </c>
      <c r="DQ70" s="86" t="str">
        <f t="shared" ref="DQ70:DQ71" si="208">IFERROR(MODE(F70,M70,T70,AA70,AH70,AO70,AV70,BC70,BJ70,BQ70,CE70,CL70,CS70,CZ70,DG70),"N/A")</f>
        <v>N/A</v>
      </c>
      <c r="DR70" s="88">
        <f>+STDEV(F70,M70,T70,AA70,AH70,AO70,AV70,BC70,BJ70,BQ70,CE70,CL70,CS70,CZ70,DG70)/DN70</f>
        <v>0.52595195239004966</v>
      </c>
      <c r="DS70" t="s">
        <v>176</v>
      </c>
      <c r="DT70" t="s">
        <v>165</v>
      </c>
    </row>
    <row r="71" spans="1:124" ht="17" customHeight="1" thickBot="1" x14ac:dyDescent="0.25">
      <c r="A71" s="169"/>
      <c r="B71" s="9" t="s">
        <v>149</v>
      </c>
      <c r="C71" s="14" t="s">
        <v>102</v>
      </c>
      <c r="D71" s="11">
        <v>1854000</v>
      </c>
      <c r="E71" s="12">
        <f t="shared" si="201"/>
        <v>352260</v>
      </c>
      <c r="F71" s="99">
        <f t="shared" si="190"/>
        <v>2206260</v>
      </c>
      <c r="G71" s="100"/>
      <c r="I71" s="9" t="s">
        <v>149</v>
      </c>
      <c r="J71" s="14" t="s">
        <v>102</v>
      </c>
      <c r="K71" s="11">
        <v>2582780</v>
      </c>
      <c r="L71" s="12">
        <v>0</v>
      </c>
      <c r="M71" s="99">
        <f t="shared" si="191"/>
        <v>2582780</v>
      </c>
      <c r="N71" s="100"/>
      <c r="P71" s="9" t="s">
        <v>149</v>
      </c>
      <c r="Q71" s="14" t="s">
        <v>102</v>
      </c>
      <c r="R71" s="11">
        <v>2400000</v>
      </c>
      <c r="S71" s="12">
        <v>0</v>
      </c>
      <c r="T71" s="155">
        <f>+R71+S71</f>
        <v>2400000</v>
      </c>
      <c r="U71" s="156"/>
      <c r="W71" s="9" t="s">
        <v>149</v>
      </c>
      <c r="X71" s="14" t="s">
        <v>102</v>
      </c>
      <c r="Y71" s="11">
        <v>1627012</v>
      </c>
      <c r="Z71" s="12">
        <v>0</v>
      </c>
      <c r="AA71" s="114">
        <f t="shared" si="192"/>
        <v>1627012</v>
      </c>
      <c r="AB71" s="115"/>
      <c r="AD71" s="9" t="s">
        <v>149</v>
      </c>
      <c r="AE71" s="14" t="s">
        <v>102</v>
      </c>
      <c r="AF71" s="11">
        <v>1534200</v>
      </c>
      <c r="AG71" s="12">
        <v>0</v>
      </c>
      <c r="AH71" s="99">
        <f t="shared" si="193"/>
        <v>1534200</v>
      </c>
      <c r="AI71" s="100"/>
      <c r="AK71" s="9" t="s">
        <v>149</v>
      </c>
      <c r="AL71" s="14" t="s">
        <v>102</v>
      </c>
      <c r="AM71" s="11">
        <v>1449000000</v>
      </c>
      <c r="AN71" s="12">
        <v>0</v>
      </c>
      <c r="AO71" s="114">
        <f>+AM71/2001</f>
        <v>724137.93103448278</v>
      </c>
      <c r="AP71" s="115"/>
      <c r="AR71" s="9" t="s">
        <v>149</v>
      </c>
      <c r="AS71" s="14" t="s">
        <v>102</v>
      </c>
      <c r="AT71" s="11">
        <v>1618678.3513516188</v>
      </c>
      <c r="AU71" s="12">
        <v>0</v>
      </c>
      <c r="AV71" s="114">
        <f t="shared" si="194"/>
        <v>1618678.3513516188</v>
      </c>
      <c r="AW71" s="115"/>
      <c r="AY71" s="54" t="s">
        <v>149</v>
      </c>
      <c r="AZ71" s="59" t="s">
        <v>102</v>
      </c>
      <c r="BA71" s="56">
        <v>1786698</v>
      </c>
      <c r="BB71" s="57">
        <v>0</v>
      </c>
      <c r="BC71" s="93">
        <f t="shared" si="195"/>
        <v>1786698</v>
      </c>
      <c r="BD71" s="94"/>
      <c r="BF71" s="34" t="s">
        <v>149</v>
      </c>
      <c r="BG71" s="39" t="s">
        <v>102</v>
      </c>
      <c r="BH71" s="36">
        <v>5700000</v>
      </c>
      <c r="BI71" s="37">
        <v>0</v>
      </c>
      <c r="BJ71" s="142">
        <f t="shared" si="196"/>
        <v>5700000</v>
      </c>
      <c r="BK71" s="143"/>
      <c r="BM71" s="54" t="s">
        <v>149</v>
      </c>
      <c r="BN71" s="59" t="s">
        <v>102</v>
      </c>
      <c r="BO71" s="56">
        <v>1851494.8702601402</v>
      </c>
      <c r="BP71" s="57">
        <v>0</v>
      </c>
      <c r="BQ71" s="93">
        <f t="shared" si="197"/>
        <v>1851494.8702601402</v>
      </c>
      <c r="BR71" s="94"/>
      <c r="BT71" s="9" t="s">
        <v>149</v>
      </c>
      <c r="BU71" s="14" t="s">
        <v>102</v>
      </c>
      <c r="BV71" s="11">
        <v>0</v>
      </c>
      <c r="BW71" s="12">
        <v>0</v>
      </c>
      <c r="BX71" s="151">
        <f t="shared" si="202"/>
        <v>0</v>
      </c>
      <c r="BY71" s="152"/>
      <c r="CA71" s="9" t="s">
        <v>149</v>
      </c>
      <c r="CB71" s="14" t="s">
        <v>102</v>
      </c>
      <c r="CC71" s="11">
        <v>1500000</v>
      </c>
      <c r="CD71" s="12">
        <f t="shared" si="203"/>
        <v>285000</v>
      </c>
      <c r="CE71" s="99">
        <f t="shared" si="198"/>
        <v>1785000</v>
      </c>
      <c r="CF71" s="100"/>
      <c r="CH71" s="9" t="s">
        <v>149</v>
      </c>
      <c r="CI71" s="14" t="s">
        <v>102</v>
      </c>
      <c r="CJ71" s="11">
        <v>2700000</v>
      </c>
      <c r="CK71" s="12">
        <v>0</v>
      </c>
      <c r="CL71" s="99">
        <f>CJ71+CK71</f>
        <v>2700000</v>
      </c>
      <c r="CM71" s="100"/>
      <c r="CO71" s="9" t="s">
        <v>262</v>
      </c>
      <c r="CP71" s="14" t="s">
        <v>217</v>
      </c>
      <c r="CQ71" s="11">
        <v>3800000</v>
      </c>
      <c r="CR71" s="12" t="s">
        <v>211</v>
      </c>
      <c r="CS71" s="99">
        <v>3800000</v>
      </c>
      <c r="CT71" s="100"/>
      <c r="CV71" s="54" t="s">
        <v>149</v>
      </c>
      <c r="CW71" s="59" t="s">
        <v>102</v>
      </c>
      <c r="CX71" s="56">
        <v>3000000</v>
      </c>
      <c r="CY71" s="57">
        <v>0</v>
      </c>
      <c r="CZ71" s="93">
        <f t="shared" si="199"/>
        <v>3000000</v>
      </c>
      <c r="DA71" s="94"/>
      <c r="DC71" s="9" t="s">
        <v>149</v>
      </c>
      <c r="DD71" s="14" t="s">
        <v>102</v>
      </c>
      <c r="DE71" s="11">
        <v>943888.88888888841</v>
      </c>
      <c r="DF71" s="12">
        <f>DE71*0.19</f>
        <v>179338.88888888879</v>
      </c>
      <c r="DG71" s="99">
        <f t="shared" si="200"/>
        <v>1123227.7777777773</v>
      </c>
      <c r="DH71" s="100"/>
      <c r="DJ71" s="70" t="s">
        <v>149</v>
      </c>
      <c r="DK71" s="71" t="s">
        <v>102</v>
      </c>
      <c r="DL71" s="72">
        <f t="shared" si="204"/>
        <v>5700000</v>
      </c>
      <c r="DM71" s="72">
        <f t="shared" si="205"/>
        <v>724137.93103448278</v>
      </c>
      <c r="DN71" s="72">
        <f t="shared" si="206"/>
        <v>2295965.9286949346</v>
      </c>
      <c r="DO71" s="72">
        <f>+TRIMMEAN((F71,M71,T71,AA71,AH71,AO71,AV71,BC71,BJ71,BQ71,CE71,CL71,CS71,CZ71,DG71),(2/15))</f>
        <v>2155026.9999530413</v>
      </c>
      <c r="DP71" s="72">
        <f t="shared" si="207"/>
        <v>1851494.8702601402</v>
      </c>
      <c r="DQ71" s="86" t="str">
        <f t="shared" si="208"/>
        <v>N/A</v>
      </c>
      <c r="DR71" s="88">
        <f>+STDEV(F71,M71,T71,AA71,AH71,AO71,AV71,BC71,BJ71,BQ71,CE71,CL71,CS71,CZ71,DG71)/DN71</f>
        <v>0.52909831271838548</v>
      </c>
      <c r="DS71" t="s">
        <v>176</v>
      </c>
      <c r="DT71" t="s">
        <v>165</v>
      </c>
    </row>
    <row r="72" spans="1:124" ht="76" thickBot="1" x14ac:dyDescent="0.25">
      <c r="A72" s="1" t="s">
        <v>140</v>
      </c>
      <c r="B72" s="103" t="s">
        <v>141</v>
      </c>
      <c r="C72" s="104"/>
      <c r="D72" s="104"/>
      <c r="E72" s="105"/>
      <c r="F72" s="18" t="s">
        <v>3</v>
      </c>
      <c r="G72" s="19" t="s">
        <v>20</v>
      </c>
      <c r="I72" s="103" t="s">
        <v>141</v>
      </c>
      <c r="J72" s="104"/>
      <c r="K72" s="104"/>
      <c r="L72" s="105"/>
      <c r="M72" s="18" t="s">
        <v>3</v>
      </c>
      <c r="N72" s="19" t="s">
        <v>20</v>
      </c>
      <c r="P72" s="15" t="s">
        <v>141</v>
      </c>
      <c r="Q72" s="16"/>
      <c r="R72" s="16"/>
      <c r="S72" s="17"/>
      <c r="T72" s="18" t="s">
        <v>3</v>
      </c>
      <c r="U72" s="19" t="s">
        <v>20</v>
      </c>
      <c r="W72" s="103" t="s">
        <v>141</v>
      </c>
      <c r="X72" s="104"/>
      <c r="Y72" s="104"/>
      <c r="Z72" s="105"/>
      <c r="AA72" s="18" t="s">
        <v>3</v>
      </c>
      <c r="AB72" s="19" t="s">
        <v>20</v>
      </c>
      <c r="AD72" s="103" t="s">
        <v>141</v>
      </c>
      <c r="AE72" s="104"/>
      <c r="AF72" s="104"/>
      <c r="AG72" s="105"/>
      <c r="AH72" s="18" t="s">
        <v>3</v>
      </c>
      <c r="AI72" s="19" t="s">
        <v>20</v>
      </c>
      <c r="AK72" s="103" t="s">
        <v>141</v>
      </c>
      <c r="AL72" s="104"/>
      <c r="AM72" s="104"/>
      <c r="AN72" s="105"/>
      <c r="AO72" s="18" t="s">
        <v>3</v>
      </c>
      <c r="AP72" s="19" t="s">
        <v>20</v>
      </c>
      <c r="AR72" s="103" t="s">
        <v>141</v>
      </c>
      <c r="AS72" s="104"/>
      <c r="AT72" s="104"/>
      <c r="AU72" s="105"/>
      <c r="AV72" s="18" t="s">
        <v>3</v>
      </c>
      <c r="AW72" s="19" t="s">
        <v>20</v>
      </c>
      <c r="AY72" s="95" t="s">
        <v>141</v>
      </c>
      <c r="AZ72" s="96"/>
      <c r="BA72" s="96"/>
      <c r="BB72" s="97"/>
      <c r="BC72" s="60" t="s">
        <v>3</v>
      </c>
      <c r="BD72" s="61" t="s">
        <v>20</v>
      </c>
      <c r="BF72" s="144"/>
      <c r="BG72" s="145"/>
      <c r="BH72" s="145"/>
      <c r="BI72" s="146"/>
      <c r="BJ72" s="40" t="s">
        <v>3</v>
      </c>
      <c r="BK72" s="41" t="s">
        <v>20</v>
      </c>
      <c r="BM72" s="95" t="s">
        <v>141</v>
      </c>
      <c r="BN72" s="96"/>
      <c r="BO72" s="96"/>
      <c r="BP72" s="97"/>
      <c r="BQ72" s="60" t="s">
        <v>3</v>
      </c>
      <c r="BR72" s="61" t="s">
        <v>20</v>
      </c>
      <c r="BT72" s="103" t="s">
        <v>141</v>
      </c>
      <c r="BU72" s="104"/>
      <c r="BV72" s="104"/>
      <c r="BW72" s="105"/>
      <c r="BX72" s="18" t="s">
        <v>3</v>
      </c>
      <c r="BY72" s="19" t="s">
        <v>20</v>
      </c>
      <c r="CA72" s="103" t="s">
        <v>141</v>
      </c>
      <c r="CB72" s="104"/>
      <c r="CC72" s="104"/>
      <c r="CD72" s="105"/>
      <c r="CE72" s="18" t="s">
        <v>3</v>
      </c>
      <c r="CF72" s="19" t="s">
        <v>20</v>
      </c>
      <c r="CH72" s="103" t="s">
        <v>141</v>
      </c>
      <c r="CI72" s="104"/>
      <c r="CJ72" s="104"/>
      <c r="CK72" s="105"/>
      <c r="CL72" s="18" t="s">
        <v>3</v>
      </c>
      <c r="CM72" s="19" t="s">
        <v>20</v>
      </c>
      <c r="CO72" s="103" t="s">
        <v>254</v>
      </c>
      <c r="CP72" s="104"/>
      <c r="CQ72" s="104"/>
      <c r="CR72" s="105"/>
      <c r="CS72" s="18" t="s">
        <v>202</v>
      </c>
      <c r="CT72" s="19" t="s">
        <v>223</v>
      </c>
      <c r="CV72" s="95" t="s">
        <v>141</v>
      </c>
      <c r="CW72" s="96"/>
      <c r="CX72" s="96"/>
      <c r="CY72" s="97"/>
      <c r="CZ72" s="60" t="s">
        <v>3</v>
      </c>
      <c r="DA72" s="61" t="s">
        <v>20</v>
      </c>
      <c r="DC72" s="103" t="s">
        <v>141</v>
      </c>
      <c r="DD72" s="104"/>
      <c r="DE72" s="104"/>
      <c r="DF72" s="105"/>
      <c r="DG72" s="18" t="s">
        <v>3</v>
      </c>
      <c r="DH72" s="19" t="s">
        <v>20</v>
      </c>
    </row>
    <row r="73" spans="1:124" ht="46" thickBot="1" x14ac:dyDescent="0.25">
      <c r="A73" s="3" t="s">
        <v>5</v>
      </c>
      <c r="B73" s="20" t="s">
        <v>6</v>
      </c>
      <c r="C73" s="20" t="s">
        <v>7</v>
      </c>
      <c r="D73" s="20" t="s">
        <v>8</v>
      </c>
      <c r="E73" s="21" t="s">
        <v>9</v>
      </c>
      <c r="F73" s="106" t="s">
        <v>21</v>
      </c>
      <c r="G73" s="107"/>
      <c r="I73" s="20" t="s">
        <v>6</v>
      </c>
      <c r="J73" s="20" t="s">
        <v>7</v>
      </c>
      <c r="K73" s="20" t="s">
        <v>8</v>
      </c>
      <c r="L73" s="21" t="s">
        <v>9</v>
      </c>
      <c r="M73" s="106" t="s">
        <v>21</v>
      </c>
      <c r="N73" s="107"/>
      <c r="P73" s="20" t="s">
        <v>6</v>
      </c>
      <c r="Q73" s="20" t="s">
        <v>7</v>
      </c>
      <c r="R73" s="20" t="s">
        <v>8</v>
      </c>
      <c r="S73" s="21" t="s">
        <v>9</v>
      </c>
      <c r="T73" s="22" t="s">
        <v>21</v>
      </c>
      <c r="U73" s="23"/>
      <c r="W73" s="20" t="s">
        <v>6</v>
      </c>
      <c r="X73" s="20" t="s">
        <v>7</v>
      </c>
      <c r="Y73" s="20" t="s">
        <v>8</v>
      </c>
      <c r="Z73" s="21" t="s">
        <v>9</v>
      </c>
      <c r="AA73" s="106" t="s">
        <v>21</v>
      </c>
      <c r="AB73" s="107"/>
      <c r="AD73" s="20" t="s">
        <v>6</v>
      </c>
      <c r="AE73" s="20" t="s">
        <v>7</v>
      </c>
      <c r="AF73" s="20" t="s">
        <v>8</v>
      </c>
      <c r="AG73" s="21" t="s">
        <v>9</v>
      </c>
      <c r="AH73" s="106" t="s">
        <v>21</v>
      </c>
      <c r="AI73" s="107"/>
      <c r="AK73" s="20" t="s">
        <v>6</v>
      </c>
      <c r="AL73" s="20" t="s">
        <v>7</v>
      </c>
      <c r="AM73" s="20" t="s">
        <v>8</v>
      </c>
      <c r="AN73" s="21" t="s">
        <v>9</v>
      </c>
      <c r="AO73" s="106" t="s">
        <v>21</v>
      </c>
      <c r="AP73" s="107"/>
      <c r="AR73" s="20" t="s">
        <v>6</v>
      </c>
      <c r="AS73" s="20" t="s">
        <v>7</v>
      </c>
      <c r="AT73" s="20" t="s">
        <v>8</v>
      </c>
      <c r="AU73" s="21" t="s">
        <v>9</v>
      </c>
      <c r="AV73" s="106" t="s">
        <v>21</v>
      </c>
      <c r="AW73" s="107"/>
      <c r="AY73" s="52" t="s">
        <v>6</v>
      </c>
      <c r="AZ73" s="52" t="s">
        <v>7</v>
      </c>
      <c r="BA73" s="52" t="s">
        <v>8</v>
      </c>
      <c r="BB73" s="53" t="s">
        <v>9</v>
      </c>
      <c r="BC73" s="98" t="s">
        <v>21</v>
      </c>
      <c r="BD73" s="97"/>
      <c r="BF73" s="42" t="s">
        <v>6</v>
      </c>
      <c r="BG73" s="42" t="s">
        <v>7</v>
      </c>
      <c r="BH73" s="42" t="s">
        <v>8</v>
      </c>
      <c r="BI73" s="43" t="s">
        <v>9</v>
      </c>
      <c r="BJ73" s="147" t="s">
        <v>21</v>
      </c>
      <c r="BK73" s="148"/>
      <c r="BM73" s="52" t="s">
        <v>6</v>
      </c>
      <c r="BN73" s="52" t="s">
        <v>7</v>
      </c>
      <c r="BO73" s="52" t="s">
        <v>8</v>
      </c>
      <c r="BP73" s="53" t="s">
        <v>9</v>
      </c>
      <c r="BQ73" s="98" t="s">
        <v>21</v>
      </c>
      <c r="BR73" s="97"/>
      <c r="BT73" s="20" t="s">
        <v>6</v>
      </c>
      <c r="BU73" s="20" t="s">
        <v>7</v>
      </c>
      <c r="BV73" s="20" t="s">
        <v>8</v>
      </c>
      <c r="BW73" s="21" t="s">
        <v>9</v>
      </c>
      <c r="BX73" s="106" t="s">
        <v>21</v>
      </c>
      <c r="BY73" s="107"/>
      <c r="CA73" s="20" t="s">
        <v>6</v>
      </c>
      <c r="CB73" s="20" t="s">
        <v>7</v>
      </c>
      <c r="CC73" s="20" t="s">
        <v>8</v>
      </c>
      <c r="CD73" s="21" t="s">
        <v>9</v>
      </c>
      <c r="CE73" s="106" t="s">
        <v>21</v>
      </c>
      <c r="CF73" s="107"/>
      <c r="CH73" s="20" t="s">
        <v>6</v>
      </c>
      <c r="CI73" s="20" t="s">
        <v>7</v>
      </c>
      <c r="CJ73" s="20" t="s">
        <v>8</v>
      </c>
      <c r="CK73" s="21" t="s">
        <v>9</v>
      </c>
      <c r="CL73" s="106" t="s">
        <v>21</v>
      </c>
      <c r="CM73" s="107"/>
      <c r="CO73" s="20" t="s">
        <v>204</v>
      </c>
      <c r="CP73" s="20" t="s">
        <v>205</v>
      </c>
      <c r="CQ73" s="20" t="s">
        <v>206</v>
      </c>
      <c r="CR73" s="21" t="s">
        <v>207</v>
      </c>
      <c r="CS73" s="106" t="s">
        <v>208</v>
      </c>
      <c r="CT73" s="107"/>
      <c r="CV73" s="52" t="s">
        <v>6</v>
      </c>
      <c r="CW73" s="52" t="s">
        <v>7</v>
      </c>
      <c r="CX73" s="52" t="s">
        <v>8</v>
      </c>
      <c r="CY73" s="53" t="s">
        <v>9</v>
      </c>
      <c r="CZ73" s="98" t="s">
        <v>21</v>
      </c>
      <c r="DA73" s="97"/>
      <c r="DC73" s="20" t="s">
        <v>6</v>
      </c>
      <c r="DD73" s="20" t="s">
        <v>7</v>
      </c>
      <c r="DE73" s="20" t="s">
        <v>8</v>
      </c>
      <c r="DF73" s="21" t="s">
        <v>9</v>
      </c>
      <c r="DG73" s="106" t="s">
        <v>21</v>
      </c>
      <c r="DH73" s="107"/>
      <c r="DJ73" s="68" t="s">
        <v>6</v>
      </c>
      <c r="DK73" s="68" t="s">
        <v>7</v>
      </c>
      <c r="DL73" s="69" t="s">
        <v>268</v>
      </c>
      <c r="DM73" s="69" t="s">
        <v>269</v>
      </c>
      <c r="DN73" s="69" t="s">
        <v>270</v>
      </c>
      <c r="DO73" s="69" t="s">
        <v>273</v>
      </c>
      <c r="DP73" s="69" t="s">
        <v>271</v>
      </c>
      <c r="DQ73" s="69" t="s">
        <v>272</v>
      </c>
      <c r="DS73" s="92" t="s">
        <v>291</v>
      </c>
      <c r="DT73" s="92" t="s">
        <v>292</v>
      </c>
    </row>
    <row r="74" spans="1:124" ht="17" customHeight="1" thickBot="1" x14ac:dyDescent="0.25">
      <c r="A74" s="167" t="s">
        <v>94</v>
      </c>
      <c r="B74" s="9" t="s">
        <v>150</v>
      </c>
      <c r="C74" s="10" t="s">
        <v>96</v>
      </c>
      <c r="D74" s="11">
        <v>3210000</v>
      </c>
      <c r="E74" s="12">
        <f>(D74*19)/100</f>
        <v>609900</v>
      </c>
      <c r="F74" s="99">
        <f>D74+E74</f>
        <v>3819900</v>
      </c>
      <c r="G74" s="100"/>
      <c r="I74" s="9" t="s">
        <v>150</v>
      </c>
      <c r="J74" s="10" t="s">
        <v>96</v>
      </c>
      <c r="K74" s="11">
        <v>2548000</v>
      </c>
      <c r="L74" s="12">
        <v>0</v>
      </c>
      <c r="M74" s="99">
        <f>K74+L74</f>
        <v>2548000</v>
      </c>
      <c r="N74" s="100"/>
      <c r="P74" s="9" t="s">
        <v>150</v>
      </c>
      <c r="Q74" s="10" t="s">
        <v>96</v>
      </c>
      <c r="R74" s="11">
        <v>2650000</v>
      </c>
      <c r="S74" s="12">
        <v>0</v>
      </c>
      <c r="T74" s="155">
        <f>+R74+S74</f>
        <v>2650000</v>
      </c>
      <c r="U74" s="156"/>
      <c r="W74" s="28" t="s">
        <v>150</v>
      </c>
      <c r="X74" s="29" t="s">
        <v>96</v>
      </c>
      <c r="Y74" s="30">
        <v>1900000</v>
      </c>
      <c r="Z74" s="31">
        <v>0</v>
      </c>
      <c r="AA74" s="121">
        <f>Y74+Z74</f>
        <v>1900000</v>
      </c>
      <c r="AB74" s="122"/>
      <c r="AD74" s="9" t="s">
        <v>150</v>
      </c>
      <c r="AE74" s="10" t="s">
        <v>96</v>
      </c>
      <c r="AF74" s="11">
        <v>1730400</v>
      </c>
      <c r="AG74" s="12">
        <v>0</v>
      </c>
      <c r="AH74" s="99">
        <f>AF74+AG74</f>
        <v>1730400</v>
      </c>
      <c r="AI74" s="100"/>
      <c r="AK74" s="9" t="s">
        <v>150</v>
      </c>
      <c r="AL74" s="10" t="s">
        <v>96</v>
      </c>
      <c r="AM74" s="11">
        <v>770700000</v>
      </c>
      <c r="AN74" s="12">
        <v>0</v>
      </c>
      <c r="AO74" s="114">
        <f>+AM74/700</f>
        <v>1101000</v>
      </c>
      <c r="AP74" s="115"/>
      <c r="AR74" s="9" t="s">
        <v>150</v>
      </c>
      <c r="AS74" s="10" t="s">
        <v>96</v>
      </c>
      <c r="AT74" s="11">
        <v>1700259.7402597403</v>
      </c>
      <c r="AU74" s="12">
        <v>0</v>
      </c>
      <c r="AV74" s="114">
        <f>AT74+AU74</f>
        <v>1700259.7402597403</v>
      </c>
      <c r="AW74" s="115"/>
      <c r="AY74" s="54" t="s">
        <v>150</v>
      </c>
      <c r="AZ74" s="55" t="s">
        <v>96</v>
      </c>
      <c r="BA74" s="56">
        <v>1997647</v>
      </c>
      <c r="BB74" s="57">
        <v>0</v>
      </c>
      <c r="BC74" s="93">
        <f t="shared" ref="BC74:BC77" si="209">BA74+BB74</f>
        <v>1997647</v>
      </c>
      <c r="BD74" s="94"/>
      <c r="BF74" s="34" t="s">
        <v>150</v>
      </c>
      <c r="BG74" s="35" t="s">
        <v>96</v>
      </c>
      <c r="BH74" s="36">
        <v>6790000</v>
      </c>
      <c r="BI74" s="37">
        <v>0</v>
      </c>
      <c r="BJ74" s="142">
        <f>BH74+BI74</f>
        <v>6790000</v>
      </c>
      <c r="BK74" s="143"/>
      <c r="BM74" s="54" t="s">
        <v>150</v>
      </c>
      <c r="BN74" s="55" t="s">
        <v>96</v>
      </c>
      <c r="BO74" s="56">
        <v>2070011.4332555099</v>
      </c>
      <c r="BP74" s="57">
        <v>0</v>
      </c>
      <c r="BQ74" s="93">
        <f t="shared" ref="BQ74:BQ77" si="210">BO74+BP74</f>
        <v>2070011.4332555099</v>
      </c>
      <c r="BR74" s="94"/>
      <c r="BT74" s="9" t="s">
        <v>150</v>
      </c>
      <c r="BU74" s="10" t="s">
        <v>191</v>
      </c>
      <c r="BV74" s="11">
        <v>134788000</v>
      </c>
      <c r="BW74" s="12">
        <v>0</v>
      </c>
      <c r="BX74" s="114">
        <f>+BV74/70</f>
        <v>1925542.857142857</v>
      </c>
      <c r="BY74" s="115"/>
      <c r="CA74" s="9" t="s">
        <v>150</v>
      </c>
      <c r="CB74" s="10" t="s">
        <v>96</v>
      </c>
      <c r="CC74" s="11">
        <v>1800000</v>
      </c>
      <c r="CD74" s="12">
        <f>CC74*0.19</f>
        <v>342000</v>
      </c>
      <c r="CE74" s="99">
        <f>CC74+CD74</f>
        <v>2142000</v>
      </c>
      <c r="CF74" s="100"/>
      <c r="CH74" s="9" t="s">
        <v>150</v>
      </c>
      <c r="CI74" s="10" t="s">
        <v>96</v>
      </c>
      <c r="CJ74" s="11">
        <v>3000000</v>
      </c>
      <c r="CK74" s="12">
        <v>0</v>
      </c>
      <c r="CL74" s="99">
        <f>CJ74+CK74</f>
        <v>3000000</v>
      </c>
      <c r="CM74" s="100"/>
      <c r="CO74" s="9" t="s">
        <v>263</v>
      </c>
      <c r="CP74" s="10" t="s">
        <v>210</v>
      </c>
      <c r="CQ74" s="11">
        <v>5200000</v>
      </c>
      <c r="CR74" s="12" t="s">
        <v>211</v>
      </c>
      <c r="CS74" s="99">
        <f>+CQ74</f>
        <v>5200000</v>
      </c>
      <c r="CT74" s="100"/>
      <c r="CV74" s="54" t="s">
        <v>150</v>
      </c>
      <c r="CW74" s="55" t="s">
        <v>96</v>
      </c>
      <c r="CX74" s="56">
        <v>3000000</v>
      </c>
      <c r="CY74" s="57">
        <v>0</v>
      </c>
      <c r="CZ74" s="93">
        <f t="shared" ref="CZ74:CZ77" si="211">CX74+CY74</f>
        <v>3000000</v>
      </c>
      <c r="DA74" s="94"/>
      <c r="DC74" s="9" t="s">
        <v>150</v>
      </c>
      <c r="DD74" s="10" t="s">
        <v>96</v>
      </c>
      <c r="DE74" s="11">
        <v>2008888.8888888834</v>
      </c>
      <c r="DF74" s="12">
        <f>DE74*0.19</f>
        <v>381688.88888888783</v>
      </c>
      <c r="DG74" s="99">
        <f>DE74+DF74</f>
        <v>2390577.7777777715</v>
      </c>
      <c r="DH74" s="100"/>
      <c r="DJ74" s="70" t="s">
        <v>150</v>
      </c>
      <c r="DK74" s="71" t="s">
        <v>96</v>
      </c>
      <c r="DL74" s="72">
        <f>+MAX(F74,M74,T74,AA74,AH74,AO74,AV74,BC74,BJ74,BQ74,BX74,CE74,CL74,CS74,CZ74,DG74)</f>
        <v>6790000</v>
      </c>
      <c r="DM74" s="72">
        <f>+MIN(F74,M74,T74,AA74,AH74,AO74,AV74,BC74,BJ74,BQ74,BX74,CE74,CL74,CS74,CZ74,DG74)</f>
        <v>1101000</v>
      </c>
      <c r="DN74" s="72">
        <f>+AVERAGE(F74,M74,T74,AA74,AH74,AO74,AV74,BC74,BJ74,BQ74,BX74,CE74,CL74,CS74,CZ74,DG74)</f>
        <v>2747833.6755272425</v>
      </c>
      <c r="DO74" s="72">
        <f>+TRIMMEAN((F74,M74,T74,AA74,AH74,AO74,AV74,BC74,BJ74,BQ74,BX74,CE74,CL74,CS74,CZ74,DG74),(2/16))</f>
        <v>2576738.4863168485</v>
      </c>
      <c r="DP74" s="72">
        <f>+MEDIAN(F74,M74,T74,AA74,AH74,AO74,AV74,BC74,BJ74,BQ74,BX74,CE74,CL74,CS74,CZ74,DG74)</f>
        <v>2266288.8888888857</v>
      </c>
      <c r="DQ74" s="72">
        <f>IFERROR(MODE(F74,M74,T74,AA74,AH74,AO74,AV74,BC74,BJ74,BQ74,BX74,CE74,CL74,CS74,CZ74,DG74),"N/A")</f>
        <v>3000000</v>
      </c>
      <c r="DR74" s="88">
        <f>+STDEV(F74,M74,T74,AA74,AH74,AO74,AV74,BC74,BJ74,BQ74,BX74,CE74,CL74,CS74,CZ74,DG74)/DN74</f>
        <v>0.52682812106073473</v>
      </c>
      <c r="DS74" t="s">
        <v>176</v>
      </c>
      <c r="DT74" t="s">
        <v>165</v>
      </c>
    </row>
    <row r="75" spans="1:124" ht="17" thickBot="1" x14ac:dyDescent="0.25">
      <c r="A75" s="168"/>
      <c r="B75" s="9" t="s">
        <v>151</v>
      </c>
      <c r="C75" s="13" t="s">
        <v>98</v>
      </c>
      <c r="D75" s="11">
        <v>2252000</v>
      </c>
      <c r="E75" s="12">
        <f t="shared" ref="E75:E77" si="212">(D75*19)/100</f>
        <v>427880</v>
      </c>
      <c r="F75" s="99">
        <f t="shared" ref="F75:F77" si="213">D75+E75</f>
        <v>2679880</v>
      </c>
      <c r="G75" s="100"/>
      <c r="I75" s="9" t="s">
        <v>151</v>
      </c>
      <c r="J75" s="13" t="s">
        <v>98</v>
      </c>
      <c r="K75" s="11">
        <f>+K74*99.2%</f>
        <v>2527616</v>
      </c>
      <c r="L75" s="12">
        <v>0</v>
      </c>
      <c r="M75" s="99">
        <f t="shared" ref="M75:M77" si="214">K75+L75</f>
        <v>2527616</v>
      </c>
      <c r="N75" s="100"/>
      <c r="P75" s="9" t="s">
        <v>151</v>
      </c>
      <c r="Q75" s="13" t="s">
        <v>98</v>
      </c>
      <c r="R75" s="11">
        <v>2590000</v>
      </c>
      <c r="S75" s="12">
        <v>0</v>
      </c>
      <c r="T75" s="155">
        <f>+R75+S75</f>
        <v>2590000</v>
      </c>
      <c r="U75" s="156"/>
      <c r="W75" s="9" t="s">
        <v>151</v>
      </c>
      <c r="X75" s="13" t="s">
        <v>98</v>
      </c>
      <c r="Y75" s="11">
        <v>1085000</v>
      </c>
      <c r="Z75" s="12">
        <v>0</v>
      </c>
      <c r="AA75" s="114">
        <f t="shared" ref="AA75:AA77" si="215">Y75+Z75</f>
        <v>1085000</v>
      </c>
      <c r="AB75" s="115"/>
      <c r="AD75" s="9" t="s">
        <v>151</v>
      </c>
      <c r="AE75" s="13" t="s">
        <v>98</v>
      </c>
      <c r="AF75" s="11">
        <v>1648600</v>
      </c>
      <c r="AG75" s="12">
        <v>0</v>
      </c>
      <c r="AH75" s="99">
        <f t="shared" ref="AH75:AH77" si="216">AF75+AG75</f>
        <v>1648600</v>
      </c>
      <c r="AI75" s="100"/>
      <c r="AK75" s="9" t="s">
        <v>151</v>
      </c>
      <c r="AL75" s="13" t="s">
        <v>98</v>
      </c>
      <c r="AM75" s="11">
        <v>1397200000</v>
      </c>
      <c r="AN75" s="12">
        <v>0</v>
      </c>
      <c r="AO75" s="114">
        <f>+AM75/1400</f>
        <v>998000</v>
      </c>
      <c r="AP75" s="115"/>
      <c r="AR75" s="9" t="s">
        <v>151</v>
      </c>
      <c r="AS75" s="13" t="s">
        <v>98</v>
      </c>
      <c r="AT75" s="11">
        <v>1683425.4854056835</v>
      </c>
      <c r="AU75" s="12">
        <v>0</v>
      </c>
      <c r="AV75" s="114">
        <f t="shared" ref="AV75:AV77" si="217">AT75+AU75</f>
        <v>1683425.4854056835</v>
      </c>
      <c r="AW75" s="115"/>
      <c r="AY75" s="54" t="s">
        <v>151</v>
      </c>
      <c r="AZ75" s="58" t="s">
        <v>98</v>
      </c>
      <c r="BA75" s="56">
        <v>2094340</v>
      </c>
      <c r="BB75" s="57">
        <v>0</v>
      </c>
      <c r="BC75" s="93">
        <f t="shared" si="209"/>
        <v>2094340</v>
      </c>
      <c r="BD75" s="94"/>
      <c r="BF75" s="34" t="s">
        <v>151</v>
      </c>
      <c r="BG75" s="38" t="s">
        <v>98</v>
      </c>
      <c r="BH75" s="36">
        <v>5800000</v>
      </c>
      <c r="BI75" s="37">
        <v>0</v>
      </c>
      <c r="BJ75" s="142">
        <f t="shared" ref="BJ75:BJ77" si="218">BH75+BI75</f>
        <v>5800000</v>
      </c>
      <c r="BK75" s="143"/>
      <c r="BM75" s="54" t="s">
        <v>151</v>
      </c>
      <c r="BN75" s="58" t="s">
        <v>98</v>
      </c>
      <c r="BO75" s="56">
        <v>2170238.9877357627</v>
      </c>
      <c r="BP75" s="57">
        <v>0</v>
      </c>
      <c r="BQ75" s="93">
        <f t="shared" si="210"/>
        <v>2170238.9877357627</v>
      </c>
      <c r="BR75" s="94"/>
      <c r="BT75" s="9" t="s">
        <v>151</v>
      </c>
      <c r="BU75" s="13" t="s">
        <v>98</v>
      </c>
      <c r="BV75" s="11">
        <v>0</v>
      </c>
      <c r="BW75" s="12">
        <v>0</v>
      </c>
      <c r="BX75" s="151">
        <f t="shared" ref="BX75:BX77" si="219">BV75+BW75</f>
        <v>0</v>
      </c>
      <c r="BY75" s="152"/>
      <c r="CA75" s="9" t="s">
        <v>151</v>
      </c>
      <c r="CB75" s="13" t="s">
        <v>98</v>
      </c>
      <c r="CC75" s="11">
        <v>1700000</v>
      </c>
      <c r="CD75" s="12">
        <f t="shared" ref="CD75:CD77" si="220">CC75*0.19</f>
        <v>323000</v>
      </c>
      <c r="CE75" s="99">
        <f t="shared" ref="CE75:CE77" si="221">CC75+CD75</f>
        <v>2023000</v>
      </c>
      <c r="CF75" s="100"/>
      <c r="CH75" s="9" t="s">
        <v>151</v>
      </c>
      <c r="CI75" s="13" t="s">
        <v>98</v>
      </c>
      <c r="CJ75" s="11">
        <v>2800000</v>
      </c>
      <c r="CK75" s="12">
        <v>0</v>
      </c>
      <c r="CL75" s="99">
        <f>CJ75+CK75</f>
        <v>2800000</v>
      </c>
      <c r="CM75" s="100"/>
      <c r="CO75" s="9" t="s">
        <v>264</v>
      </c>
      <c r="CP75" s="13" t="s">
        <v>213</v>
      </c>
      <c r="CQ75" s="11">
        <v>4400000</v>
      </c>
      <c r="CR75" s="12" t="s">
        <v>211</v>
      </c>
      <c r="CS75" s="99">
        <v>4400000</v>
      </c>
      <c r="CT75" s="100"/>
      <c r="CV75" s="54" t="s">
        <v>151</v>
      </c>
      <c r="CW75" s="58" t="s">
        <v>98</v>
      </c>
      <c r="CX75" s="56">
        <v>3000000</v>
      </c>
      <c r="CY75" s="57">
        <v>0</v>
      </c>
      <c r="CZ75" s="93">
        <f t="shared" si="211"/>
        <v>3000000</v>
      </c>
      <c r="DA75" s="94"/>
      <c r="DC75" s="9" t="s">
        <v>151</v>
      </c>
      <c r="DD75" s="13" t="s">
        <v>98</v>
      </c>
      <c r="DE75" s="11">
        <v>943888.88888888841</v>
      </c>
      <c r="DF75" s="12">
        <f>DE75*0.19</f>
        <v>179338.88888888879</v>
      </c>
      <c r="DG75" s="99">
        <f t="shared" ref="DG75:DG77" si="222">DE75+DF75</f>
        <v>1123227.7777777773</v>
      </c>
      <c r="DH75" s="100"/>
      <c r="DJ75" s="70" t="s">
        <v>151</v>
      </c>
      <c r="DK75" s="71" t="s">
        <v>98</v>
      </c>
      <c r="DL75" s="72">
        <f>+MAX(F75,M75,T75,AA75,AH75,AO75,AV75,BC75,BJ75,BQ75,CE75,CL75,CS75,CZ75,DG75)</f>
        <v>5800000</v>
      </c>
      <c r="DM75" s="72">
        <f>+MIN(F75,M75,T75,AA75,AH75,AO75,AV75,BC75,BJ75,BQ75,CE75,CL75,CS75,CZ75,DG75)</f>
        <v>998000</v>
      </c>
      <c r="DN75" s="72">
        <f>+AVERAGE(F75,M75,T75,AA75,AH75,AO75,AV75,BC75,BJ75,BQ75,CE75,CL75,CS75,CZ75,DG75)</f>
        <v>2441555.2167279483</v>
      </c>
      <c r="DO75" s="72">
        <f>+TRIMMEAN((F75,M75,T75,AA75,AH75,AO75,AV75,BC75,BJ75,BQ75,CE75,CL75,CS75,CZ75,DG75),(2/15))</f>
        <v>2294256.0193014788</v>
      </c>
      <c r="DP75" s="72">
        <f>+MEDIAN(F75,M75,T75,AA75,AH75,AO75,AV75,BC75,BJ75,BQ75,CE75,CL75,CS75,CZ75,DG75)</f>
        <v>2170238.9877357627</v>
      </c>
      <c r="DQ75" s="86" t="str">
        <f>IFERROR(MODE(F75,M75,T75,AA75,AH75,AO75,AV75,BC75,BJ75,BQ75,CE75,CL75,CS75,CZ75,DG75),"N/A")</f>
        <v>N/A</v>
      </c>
      <c r="DR75" s="88">
        <f>+STDEV(F75,M75,T75,AA75,AH75,AO75,AV75,BC75,BJ75,BQ75,CE75,CL75,CS75,CZ75,DG75)/DN75</f>
        <v>0.52355410540447533</v>
      </c>
      <c r="DS75" t="s">
        <v>176</v>
      </c>
      <c r="DT75" t="s">
        <v>165</v>
      </c>
    </row>
    <row r="76" spans="1:124" ht="17" thickBot="1" x14ac:dyDescent="0.25">
      <c r="A76" s="168"/>
      <c r="B76" s="9" t="s">
        <v>152</v>
      </c>
      <c r="C76" s="13" t="s">
        <v>100</v>
      </c>
      <c r="D76" s="11">
        <v>1916000</v>
      </c>
      <c r="E76" s="12">
        <f t="shared" si="212"/>
        <v>364040</v>
      </c>
      <c r="F76" s="99">
        <f t="shared" si="213"/>
        <v>2280040</v>
      </c>
      <c r="G76" s="100"/>
      <c r="I76" s="9" t="s">
        <v>152</v>
      </c>
      <c r="J76" s="13" t="s">
        <v>100</v>
      </c>
      <c r="K76" s="11">
        <f>+K74*98.9%</f>
        <v>2519972.0000000005</v>
      </c>
      <c r="L76" s="12">
        <v>0</v>
      </c>
      <c r="M76" s="99">
        <f t="shared" si="214"/>
        <v>2519972.0000000005</v>
      </c>
      <c r="N76" s="100"/>
      <c r="P76" s="9" t="s">
        <v>152</v>
      </c>
      <c r="Q76" s="13" t="s">
        <v>100</v>
      </c>
      <c r="R76" s="11">
        <v>2470000</v>
      </c>
      <c r="S76" s="12">
        <v>0</v>
      </c>
      <c r="T76" s="155">
        <f>+R76+S76</f>
        <v>2470000</v>
      </c>
      <c r="U76" s="156"/>
      <c r="W76" s="9" t="s">
        <v>152</v>
      </c>
      <c r="X76" s="13" t="s">
        <v>100</v>
      </c>
      <c r="Y76" s="11">
        <v>1714750</v>
      </c>
      <c r="Z76" s="12">
        <v>0</v>
      </c>
      <c r="AA76" s="114">
        <f t="shared" si="215"/>
        <v>1714750</v>
      </c>
      <c r="AB76" s="115"/>
      <c r="AD76" s="9" t="s">
        <v>152</v>
      </c>
      <c r="AE76" s="13" t="s">
        <v>100</v>
      </c>
      <c r="AF76" s="11">
        <v>1566900</v>
      </c>
      <c r="AG76" s="12">
        <v>0</v>
      </c>
      <c r="AH76" s="99">
        <f t="shared" si="216"/>
        <v>1566900</v>
      </c>
      <c r="AI76" s="100"/>
      <c r="AK76" s="9" t="s">
        <v>152</v>
      </c>
      <c r="AL76" s="13" t="s">
        <v>100</v>
      </c>
      <c r="AM76" s="11">
        <v>1449000000</v>
      </c>
      <c r="AN76" s="12">
        <v>0</v>
      </c>
      <c r="AO76" s="114">
        <f>+AM76/2000</f>
        <v>724500</v>
      </c>
      <c r="AP76" s="115"/>
      <c r="AR76" s="9" t="s">
        <v>152</v>
      </c>
      <c r="AS76" s="13" t="s">
        <v>100</v>
      </c>
      <c r="AT76" s="11">
        <v>1666921.3139801375</v>
      </c>
      <c r="AU76" s="12">
        <v>0</v>
      </c>
      <c r="AV76" s="114">
        <f t="shared" si="217"/>
        <v>1666921.3139801375</v>
      </c>
      <c r="AW76" s="115"/>
      <c r="AY76" s="54" t="s">
        <v>152</v>
      </c>
      <c r="AZ76" s="58" t="s">
        <v>100</v>
      </c>
      <c r="BA76" s="56">
        <v>2027176</v>
      </c>
      <c r="BB76" s="57">
        <v>0</v>
      </c>
      <c r="BC76" s="93">
        <f t="shared" si="209"/>
        <v>2027176</v>
      </c>
      <c r="BD76" s="94"/>
      <c r="BF76" s="34" t="s">
        <v>152</v>
      </c>
      <c r="BG76" s="38" t="s">
        <v>100</v>
      </c>
      <c r="BH76" s="36">
        <v>5800000</v>
      </c>
      <c r="BI76" s="37">
        <v>0</v>
      </c>
      <c r="BJ76" s="142">
        <f t="shared" si="218"/>
        <v>5800000</v>
      </c>
      <c r="BK76" s="143"/>
      <c r="BM76" s="54" t="s">
        <v>152</v>
      </c>
      <c r="BN76" s="59" t="s">
        <v>100</v>
      </c>
      <c r="BO76" s="56">
        <v>2100693.4736136305</v>
      </c>
      <c r="BP76" s="57">
        <v>0</v>
      </c>
      <c r="BQ76" s="93">
        <f t="shared" si="210"/>
        <v>2100693.4736136305</v>
      </c>
      <c r="BR76" s="94"/>
      <c r="BT76" s="9" t="s">
        <v>152</v>
      </c>
      <c r="BU76" s="13" t="s">
        <v>100</v>
      </c>
      <c r="BV76" s="11">
        <v>0</v>
      </c>
      <c r="BW76" s="12">
        <v>0</v>
      </c>
      <c r="BX76" s="151">
        <f t="shared" si="219"/>
        <v>0</v>
      </c>
      <c r="BY76" s="152"/>
      <c r="CA76" s="9" t="s">
        <v>152</v>
      </c>
      <c r="CB76" s="13" t="s">
        <v>100</v>
      </c>
      <c r="CC76" s="11">
        <v>1600000</v>
      </c>
      <c r="CD76" s="12">
        <f t="shared" si="220"/>
        <v>304000</v>
      </c>
      <c r="CE76" s="99">
        <f t="shared" si="221"/>
        <v>1904000</v>
      </c>
      <c r="CF76" s="100"/>
      <c r="CH76" s="9" t="s">
        <v>152</v>
      </c>
      <c r="CI76" s="13" t="s">
        <v>100</v>
      </c>
      <c r="CJ76" s="11">
        <v>2720000</v>
      </c>
      <c r="CK76" s="12">
        <v>0</v>
      </c>
      <c r="CL76" s="99">
        <f>CJ76+CK76</f>
        <v>2720000</v>
      </c>
      <c r="CM76" s="100"/>
      <c r="CO76" s="9" t="s">
        <v>265</v>
      </c>
      <c r="CP76" s="13" t="s">
        <v>215</v>
      </c>
      <c r="CQ76" s="11">
        <v>4000000</v>
      </c>
      <c r="CR76" s="12" t="s">
        <v>211</v>
      </c>
      <c r="CS76" s="99">
        <v>4000000</v>
      </c>
      <c r="CT76" s="100"/>
      <c r="CV76" s="54" t="s">
        <v>152</v>
      </c>
      <c r="CW76" s="58" t="s">
        <v>100</v>
      </c>
      <c r="CX76" s="56">
        <v>3000000</v>
      </c>
      <c r="CY76" s="57">
        <v>0</v>
      </c>
      <c r="CZ76" s="93">
        <f t="shared" si="211"/>
        <v>3000000</v>
      </c>
      <c r="DA76" s="94"/>
      <c r="DC76" s="9" t="s">
        <v>152</v>
      </c>
      <c r="DD76" s="13" t="s">
        <v>100</v>
      </c>
      <c r="DE76" s="11">
        <v>943888.88888888841</v>
      </c>
      <c r="DF76" s="12">
        <f>DE76*0.19</f>
        <v>179338.88888888879</v>
      </c>
      <c r="DG76" s="99">
        <f t="shared" si="222"/>
        <v>1123227.7777777773</v>
      </c>
      <c r="DH76" s="100"/>
      <c r="DJ76" s="70" t="s">
        <v>152</v>
      </c>
      <c r="DK76" s="71" t="s">
        <v>100</v>
      </c>
      <c r="DL76" s="72">
        <f t="shared" ref="DL76:DL77" si="223">+MAX(F76,M76,T76,AA76,AH76,AO76,AV76,BC76,BJ76,BQ76,CE76,CL76,CS76,CZ76,DG76)</f>
        <v>5800000</v>
      </c>
      <c r="DM76" s="72">
        <f t="shared" ref="DM76:DM77" si="224">+MIN(F76,M76,T76,AA76,AH76,AO76,AV76,BC76,BJ76,BQ76,CE76,CL76,CS76,CZ76,DG76)</f>
        <v>724500</v>
      </c>
      <c r="DN76" s="72">
        <f t="shared" ref="DN76:DN77" si="225">+AVERAGE(F76,M76,T76,AA76,AH76,AO76,AV76,BC76,BJ76,BQ76,CE76,CL76,CS76,CZ76,DG76)</f>
        <v>2374545.3710247697</v>
      </c>
      <c r="DO76" s="72">
        <f>+TRIMMEAN((F76,M76,T76,AA76,AH76,AO76,AV76,BC76,BJ76,BQ76,CE76,CL76,CS76,CZ76,DG76),(2/15))</f>
        <v>2237975.4281055033</v>
      </c>
      <c r="DP76" s="72">
        <f t="shared" ref="DP76:DP77" si="226">+MEDIAN(F76,M76,T76,AA76,AH76,AO76,AV76,BC76,BJ76,BQ76,CE76,CL76,CS76,CZ76,DG76)</f>
        <v>2100693.4736136305</v>
      </c>
      <c r="DQ76" s="86" t="str">
        <f t="shared" ref="DQ76:DQ77" si="227">IFERROR(MODE(F76,M76,T76,AA76,AH76,AO76,AV76,BC76,BJ76,BQ76,CE76,CL76,CS76,CZ76,DG76),"N/A")</f>
        <v>N/A</v>
      </c>
      <c r="DR76" s="88">
        <f>+STDEV(F76,M76,T76,AA76,AH76,AO76,AV76,BC76,BJ76,BQ76,CE76,CL76,CS76,CZ76,DG76)/DN76</f>
        <v>0.5184685851924633</v>
      </c>
      <c r="DS76" t="s">
        <v>176</v>
      </c>
      <c r="DT76" t="s">
        <v>165</v>
      </c>
    </row>
    <row r="77" spans="1:124" ht="17" thickBot="1" x14ac:dyDescent="0.25">
      <c r="A77" s="169"/>
      <c r="B77" s="9" t="s">
        <v>153</v>
      </c>
      <c r="C77" s="14" t="s">
        <v>102</v>
      </c>
      <c r="D77" s="11">
        <v>1854000</v>
      </c>
      <c r="E77" s="12">
        <f t="shared" si="212"/>
        <v>352260</v>
      </c>
      <c r="F77" s="99">
        <f t="shared" si="213"/>
        <v>2206260</v>
      </c>
      <c r="G77" s="100"/>
      <c r="I77" s="9" t="s">
        <v>153</v>
      </c>
      <c r="J77" s="14" t="s">
        <v>102</v>
      </c>
      <c r="K77" s="11">
        <f>+K74*97%</f>
        <v>2471560</v>
      </c>
      <c r="L77" s="12">
        <v>0</v>
      </c>
      <c r="M77" s="99">
        <f t="shared" si="214"/>
        <v>2471560</v>
      </c>
      <c r="N77" s="100"/>
      <c r="P77" s="9" t="s">
        <v>153</v>
      </c>
      <c r="Q77" s="14" t="s">
        <v>102</v>
      </c>
      <c r="R77" s="11">
        <v>2400000</v>
      </c>
      <c r="S77" s="12">
        <v>0</v>
      </c>
      <c r="T77" s="155">
        <f>+R77+S77</f>
        <v>2400000</v>
      </c>
      <c r="U77" s="156"/>
      <c r="W77" s="26" t="s">
        <v>153</v>
      </c>
      <c r="X77" s="32" t="s">
        <v>102</v>
      </c>
      <c r="Y77" s="33">
        <v>1627012</v>
      </c>
      <c r="Z77" s="27">
        <v>0</v>
      </c>
      <c r="AA77" s="119">
        <f t="shared" si="215"/>
        <v>1627012</v>
      </c>
      <c r="AB77" s="120"/>
      <c r="AD77" s="9" t="s">
        <v>153</v>
      </c>
      <c r="AE77" s="14" t="s">
        <v>102</v>
      </c>
      <c r="AF77" s="11">
        <v>1534200</v>
      </c>
      <c r="AG77" s="12">
        <v>0</v>
      </c>
      <c r="AH77" s="99">
        <f t="shared" si="216"/>
        <v>1534200</v>
      </c>
      <c r="AI77" s="100"/>
      <c r="AK77" s="9" t="s">
        <v>153</v>
      </c>
      <c r="AL77" s="14" t="s">
        <v>102</v>
      </c>
      <c r="AM77" s="11">
        <v>1449000000</v>
      </c>
      <c r="AN77" s="12">
        <v>0</v>
      </c>
      <c r="AO77" s="114">
        <f>+AM77/2001</f>
        <v>724137.93103448278</v>
      </c>
      <c r="AP77" s="115"/>
      <c r="AR77" s="9" t="s">
        <v>153</v>
      </c>
      <c r="AS77" s="14" t="s">
        <v>102</v>
      </c>
      <c r="AT77" s="11">
        <v>1650737.6119026605</v>
      </c>
      <c r="AU77" s="12">
        <v>0</v>
      </c>
      <c r="AV77" s="114">
        <f t="shared" si="217"/>
        <v>1650737.6119026605</v>
      </c>
      <c r="AW77" s="115"/>
      <c r="AY77" s="54" t="s">
        <v>153</v>
      </c>
      <c r="AZ77" s="59" t="s">
        <v>102</v>
      </c>
      <c r="BA77" s="56">
        <v>1933571</v>
      </c>
      <c r="BB77" s="57">
        <v>0</v>
      </c>
      <c r="BC77" s="93">
        <f t="shared" si="209"/>
        <v>1933571</v>
      </c>
      <c r="BD77" s="94"/>
      <c r="BF77" s="34" t="s">
        <v>153</v>
      </c>
      <c r="BG77" s="39" t="s">
        <v>102</v>
      </c>
      <c r="BH77" s="36">
        <v>5700000</v>
      </c>
      <c r="BI77" s="37">
        <v>0</v>
      </c>
      <c r="BJ77" s="142">
        <f t="shared" si="218"/>
        <v>5700000</v>
      </c>
      <c r="BK77" s="143"/>
      <c r="BM77" s="65" t="s">
        <v>153</v>
      </c>
      <c r="BN77" s="66" t="s">
        <v>102</v>
      </c>
      <c r="BO77" s="67">
        <v>2003629.8549958621</v>
      </c>
      <c r="BP77" s="57">
        <v>0</v>
      </c>
      <c r="BQ77" s="93">
        <f t="shared" si="210"/>
        <v>2003629.8549958621</v>
      </c>
      <c r="BR77" s="94"/>
      <c r="BT77" s="9" t="s">
        <v>153</v>
      </c>
      <c r="BU77" s="14" t="s">
        <v>102</v>
      </c>
      <c r="BV77" s="11">
        <v>0</v>
      </c>
      <c r="BW77" s="12">
        <v>0</v>
      </c>
      <c r="BX77" s="151">
        <f t="shared" si="219"/>
        <v>0</v>
      </c>
      <c r="BY77" s="152"/>
      <c r="CA77" s="9" t="s">
        <v>153</v>
      </c>
      <c r="CB77" s="14" t="s">
        <v>102</v>
      </c>
      <c r="CC77" s="11">
        <v>1500000</v>
      </c>
      <c r="CD77" s="12">
        <f t="shared" si="220"/>
        <v>285000</v>
      </c>
      <c r="CE77" s="99">
        <f t="shared" si="221"/>
        <v>1785000</v>
      </c>
      <c r="CF77" s="100"/>
      <c r="CH77" s="9" t="s">
        <v>153</v>
      </c>
      <c r="CI77" s="14" t="s">
        <v>102</v>
      </c>
      <c r="CJ77" s="11">
        <v>2700000</v>
      </c>
      <c r="CK77" s="12">
        <v>0</v>
      </c>
      <c r="CL77" s="99">
        <f>CJ77+CK77</f>
        <v>2700000</v>
      </c>
      <c r="CM77" s="100"/>
      <c r="CO77" s="9" t="s">
        <v>266</v>
      </c>
      <c r="CP77" s="14" t="s">
        <v>217</v>
      </c>
      <c r="CQ77" s="11">
        <v>3800000</v>
      </c>
      <c r="CR77" s="12" t="s">
        <v>211</v>
      </c>
      <c r="CS77" s="99">
        <v>3800000</v>
      </c>
      <c r="CT77" s="100"/>
      <c r="CV77" s="54" t="s">
        <v>153</v>
      </c>
      <c r="CW77" s="83" t="s">
        <v>102</v>
      </c>
      <c r="CX77" s="67">
        <v>3000000</v>
      </c>
      <c r="CY77" s="57">
        <v>0</v>
      </c>
      <c r="CZ77" s="93">
        <f t="shared" si="211"/>
        <v>3000000</v>
      </c>
      <c r="DA77" s="94"/>
      <c r="DC77" s="9" t="s">
        <v>153</v>
      </c>
      <c r="DD77" s="14" t="s">
        <v>102</v>
      </c>
      <c r="DE77" s="11">
        <v>943888.88888888841</v>
      </c>
      <c r="DF77" s="12">
        <f>DE77*0.19</f>
        <v>179338.88888888879</v>
      </c>
      <c r="DG77" s="99">
        <f t="shared" si="222"/>
        <v>1123227.7777777773</v>
      </c>
      <c r="DH77" s="100"/>
      <c r="DJ77" s="70" t="s">
        <v>153</v>
      </c>
      <c r="DK77" s="71" t="s">
        <v>102</v>
      </c>
      <c r="DL77" s="72">
        <f t="shared" si="223"/>
        <v>5700000</v>
      </c>
      <c r="DM77" s="72">
        <f t="shared" si="224"/>
        <v>724137.93103448278</v>
      </c>
      <c r="DN77" s="72">
        <f t="shared" si="225"/>
        <v>2310622.4117140523</v>
      </c>
      <c r="DO77" s="72">
        <f>+TRIMMEAN((F77,M77,T77,AA77,AH77,AO77,AV77,BC77,BJ77,BQ77,CE77,CL77,CS77,CZ77,DG77),(2/15))</f>
        <v>2171938.3265135614</v>
      </c>
      <c r="DP77" s="72">
        <f t="shared" si="226"/>
        <v>2003629.8549958621</v>
      </c>
      <c r="DQ77" s="86" t="str">
        <f t="shared" si="227"/>
        <v>N/A</v>
      </c>
      <c r="DR77" s="88">
        <f>+STDEV(F77,M77,T77,AA77,AH77,AO77,AV77,BC77,BJ77,BQ77,CE77,CL77,CS77,CZ77,DG77)/DN77</f>
        <v>0.52143454582897419</v>
      </c>
      <c r="DS77" t="s">
        <v>176</v>
      </c>
      <c r="DT77" t="s">
        <v>165</v>
      </c>
    </row>
    <row r="81" spans="121:122" x14ac:dyDescent="0.2">
      <c r="DQ81" t="s">
        <v>289</v>
      </c>
      <c r="DR81" s="90">
        <f>+MIN(DR8:DR77)</f>
        <v>0.47226108925563032</v>
      </c>
    </row>
    <row r="82" spans="121:122" x14ac:dyDescent="0.2">
      <c r="DQ82" t="s">
        <v>290</v>
      </c>
      <c r="DR82" s="90">
        <f>+MAX(DR8:DR77)</f>
        <v>0.56303925999392268</v>
      </c>
    </row>
  </sheetData>
  <sheetProtection algorithmName="SHA-512" hashValue="foP8+xX7t09pcq2nIctQ3dACCaihSUowZh8+9Ee3cU0s+AfuDAV+6dy6X+0t4SD+1Oelc1bW3mgwIgkcFVJgww==" saltValue="yioEAI6SVUoHmc696Ls+Kw==" spinCount="100000" sheet="1" formatCells="0" formatColumns="0" formatRows="0" insertColumns="0" insertRows="0" insertHyperlinks="0" deleteColumns="0" deleteRows="0" sort="0" autoFilter="0" pivotTables="0"/>
  <mergeCells count="1190">
    <mergeCell ref="DG65:DH65"/>
    <mergeCell ref="DC66:DF66"/>
    <mergeCell ref="DG67:DH67"/>
    <mergeCell ref="DG68:DH68"/>
    <mergeCell ref="DG69:DH69"/>
    <mergeCell ref="DG70:DH70"/>
    <mergeCell ref="DG71:DH71"/>
    <mergeCell ref="DC72:DF72"/>
    <mergeCell ref="DG73:DH73"/>
    <mergeCell ref="DG74:DH74"/>
    <mergeCell ref="DG75:DH75"/>
    <mergeCell ref="DG76:DH76"/>
    <mergeCell ref="DG77:DH77"/>
    <mergeCell ref="DC48:DF48"/>
    <mergeCell ref="DG49:DH49"/>
    <mergeCell ref="DG50:DH50"/>
    <mergeCell ref="DG51:DH51"/>
    <mergeCell ref="DG52:DH52"/>
    <mergeCell ref="DG53:DH53"/>
    <mergeCell ref="DC54:DF54"/>
    <mergeCell ref="DG55:DH55"/>
    <mergeCell ref="DG56:DH56"/>
    <mergeCell ref="DG57:DH57"/>
    <mergeCell ref="DG58:DH58"/>
    <mergeCell ref="DG59:DH59"/>
    <mergeCell ref="DC60:DF60"/>
    <mergeCell ref="DG61:DH61"/>
    <mergeCell ref="DG62:DH62"/>
    <mergeCell ref="DG63:DH63"/>
    <mergeCell ref="DG64:DH64"/>
    <mergeCell ref="DG31:DH31"/>
    <mergeCell ref="DG32:DH32"/>
    <mergeCell ref="DG33:DH33"/>
    <mergeCell ref="DG34:DH34"/>
    <mergeCell ref="DG35:DH35"/>
    <mergeCell ref="DC36:DF36"/>
    <mergeCell ref="DG37:DH37"/>
    <mergeCell ref="DG38:DH38"/>
    <mergeCell ref="DG39:DH39"/>
    <mergeCell ref="DG40:DH40"/>
    <mergeCell ref="DG41:DH41"/>
    <mergeCell ref="DC42:DF42"/>
    <mergeCell ref="DG43:DH43"/>
    <mergeCell ref="DG44:DH44"/>
    <mergeCell ref="DG45:DH45"/>
    <mergeCell ref="DG46:DH46"/>
    <mergeCell ref="DG47:DH47"/>
    <mergeCell ref="DG14:DH14"/>
    <mergeCell ref="DG15:DH15"/>
    <mergeCell ref="DG16:DH16"/>
    <mergeCell ref="DG17:DH17"/>
    <mergeCell ref="DC18:DF18"/>
    <mergeCell ref="DG19:DH19"/>
    <mergeCell ref="DG20:DH20"/>
    <mergeCell ref="DG21:DH21"/>
    <mergeCell ref="DG22:DH22"/>
    <mergeCell ref="DG23:DH23"/>
    <mergeCell ref="DC24:DF24"/>
    <mergeCell ref="DG25:DH25"/>
    <mergeCell ref="DG26:DH26"/>
    <mergeCell ref="DG27:DH27"/>
    <mergeCell ref="DG28:DH28"/>
    <mergeCell ref="DG29:DH29"/>
    <mergeCell ref="DC30:DF30"/>
    <mergeCell ref="B1:G1"/>
    <mergeCell ref="B2:G2"/>
    <mergeCell ref="B3:G3"/>
    <mergeCell ref="A5:G5"/>
    <mergeCell ref="B6:E6"/>
    <mergeCell ref="F7:G7"/>
    <mergeCell ref="DC1:DG1"/>
    <mergeCell ref="DC2:DG2"/>
    <mergeCell ref="DC3:DG3"/>
    <mergeCell ref="DC6:DF6"/>
    <mergeCell ref="DG7:DH7"/>
    <mergeCell ref="DG8:DH8"/>
    <mergeCell ref="DG9:DH9"/>
    <mergeCell ref="DG10:DH10"/>
    <mergeCell ref="DG11:DH11"/>
    <mergeCell ref="DC12:DF12"/>
    <mergeCell ref="DG13:DH13"/>
    <mergeCell ref="M13:N13"/>
    <mergeCell ref="P6:S6"/>
    <mergeCell ref="T7:U7"/>
    <mergeCell ref="I1:N1"/>
    <mergeCell ref="I2:N2"/>
    <mergeCell ref="I3:N3"/>
    <mergeCell ref="P1:U1"/>
    <mergeCell ref="P2:U2"/>
    <mergeCell ref="P3:U3"/>
    <mergeCell ref="CL9:CM9"/>
    <mergeCell ref="CL10:CM10"/>
    <mergeCell ref="CL11:CM11"/>
    <mergeCell ref="CH12:CK12"/>
    <mergeCell ref="CL13:CM13"/>
    <mergeCell ref="CV1:CZ1"/>
    <mergeCell ref="B18:E18"/>
    <mergeCell ref="F19:G19"/>
    <mergeCell ref="A20:A23"/>
    <mergeCell ref="F20:G20"/>
    <mergeCell ref="F21:G21"/>
    <mergeCell ref="F22:G22"/>
    <mergeCell ref="F23:G23"/>
    <mergeCell ref="F13:G13"/>
    <mergeCell ref="A14:A17"/>
    <mergeCell ref="F14:G14"/>
    <mergeCell ref="F15:G15"/>
    <mergeCell ref="F16:G16"/>
    <mergeCell ref="F17:G17"/>
    <mergeCell ref="A8:A11"/>
    <mergeCell ref="F8:G8"/>
    <mergeCell ref="F9:G9"/>
    <mergeCell ref="F10:G10"/>
    <mergeCell ref="F11:G11"/>
    <mergeCell ref="B12:E12"/>
    <mergeCell ref="B36:E36"/>
    <mergeCell ref="F37:G37"/>
    <mergeCell ref="A38:A41"/>
    <mergeCell ref="F38:G38"/>
    <mergeCell ref="F39:G39"/>
    <mergeCell ref="F40:G40"/>
    <mergeCell ref="F41:G41"/>
    <mergeCell ref="B30:E30"/>
    <mergeCell ref="F31:G31"/>
    <mergeCell ref="A32:A35"/>
    <mergeCell ref="F32:G32"/>
    <mergeCell ref="F33:G33"/>
    <mergeCell ref="F34:G34"/>
    <mergeCell ref="F35:G35"/>
    <mergeCell ref="B24:E24"/>
    <mergeCell ref="F25:G25"/>
    <mergeCell ref="A26:A29"/>
    <mergeCell ref="F26:G26"/>
    <mergeCell ref="F27:G27"/>
    <mergeCell ref="F28:G28"/>
    <mergeCell ref="F29:G29"/>
    <mergeCell ref="F65:G65"/>
    <mergeCell ref="B54:E54"/>
    <mergeCell ref="F55:G55"/>
    <mergeCell ref="A56:A59"/>
    <mergeCell ref="F56:G56"/>
    <mergeCell ref="F57:G57"/>
    <mergeCell ref="F58:G58"/>
    <mergeCell ref="F59:G59"/>
    <mergeCell ref="B48:E48"/>
    <mergeCell ref="F49:G49"/>
    <mergeCell ref="A50:A53"/>
    <mergeCell ref="F50:G50"/>
    <mergeCell ref="F51:G51"/>
    <mergeCell ref="F52:G52"/>
    <mergeCell ref="F53:G53"/>
    <mergeCell ref="B42:E42"/>
    <mergeCell ref="F43:G43"/>
    <mergeCell ref="A44:A47"/>
    <mergeCell ref="F44:G44"/>
    <mergeCell ref="F45:G45"/>
    <mergeCell ref="F46:G46"/>
    <mergeCell ref="F47:G47"/>
    <mergeCell ref="M14:N14"/>
    <mergeCell ref="M15:N15"/>
    <mergeCell ref="M16:N16"/>
    <mergeCell ref="M17:N17"/>
    <mergeCell ref="I18:L18"/>
    <mergeCell ref="M7:N7"/>
    <mergeCell ref="M8:N8"/>
    <mergeCell ref="M9:N9"/>
    <mergeCell ref="M10:N10"/>
    <mergeCell ref="M11:N11"/>
    <mergeCell ref="I12:L12"/>
    <mergeCell ref="B72:E72"/>
    <mergeCell ref="F73:G73"/>
    <mergeCell ref="A74:A77"/>
    <mergeCell ref="F74:G74"/>
    <mergeCell ref="F75:G75"/>
    <mergeCell ref="F76:G76"/>
    <mergeCell ref="F77:G77"/>
    <mergeCell ref="B66:E66"/>
    <mergeCell ref="F67:G67"/>
    <mergeCell ref="A68:A71"/>
    <mergeCell ref="F68:G68"/>
    <mergeCell ref="F69:G69"/>
    <mergeCell ref="F70:G70"/>
    <mergeCell ref="F71:G71"/>
    <mergeCell ref="B60:E60"/>
    <mergeCell ref="F61:G61"/>
    <mergeCell ref="A62:A65"/>
    <mergeCell ref="F62:G62"/>
    <mergeCell ref="F63:G63"/>
    <mergeCell ref="F64:G64"/>
    <mergeCell ref="M31:N31"/>
    <mergeCell ref="M39:N39"/>
    <mergeCell ref="M40:N40"/>
    <mergeCell ref="M41:N41"/>
    <mergeCell ref="I42:L42"/>
    <mergeCell ref="M32:N32"/>
    <mergeCell ref="M33:N33"/>
    <mergeCell ref="M34:N34"/>
    <mergeCell ref="M35:N35"/>
    <mergeCell ref="I36:L36"/>
    <mergeCell ref="M25:N25"/>
    <mergeCell ref="M26:N26"/>
    <mergeCell ref="M27:N27"/>
    <mergeCell ref="M28:N28"/>
    <mergeCell ref="M29:N29"/>
    <mergeCell ref="I30:L30"/>
    <mergeCell ref="M19:N19"/>
    <mergeCell ref="M20:N20"/>
    <mergeCell ref="M21:N21"/>
    <mergeCell ref="M22:N22"/>
    <mergeCell ref="M23:N23"/>
    <mergeCell ref="I24:L24"/>
    <mergeCell ref="M73:N73"/>
    <mergeCell ref="M74:N74"/>
    <mergeCell ref="M75:N75"/>
    <mergeCell ref="M76:N76"/>
    <mergeCell ref="M77:N77"/>
    <mergeCell ref="M67:N67"/>
    <mergeCell ref="M68:N68"/>
    <mergeCell ref="M69:N69"/>
    <mergeCell ref="M70:N70"/>
    <mergeCell ref="M71:N71"/>
    <mergeCell ref="I72:L72"/>
    <mergeCell ref="M61:N61"/>
    <mergeCell ref="M62:N62"/>
    <mergeCell ref="M63:N63"/>
    <mergeCell ref="M64:N64"/>
    <mergeCell ref="M65:N65"/>
    <mergeCell ref="I66:L66"/>
    <mergeCell ref="M55:N55"/>
    <mergeCell ref="M56:N56"/>
    <mergeCell ref="M57:N57"/>
    <mergeCell ref="M58:N58"/>
    <mergeCell ref="M59:N59"/>
    <mergeCell ref="I60:L60"/>
    <mergeCell ref="M49:N49"/>
    <mergeCell ref="T41:U41"/>
    <mergeCell ref="T38:U38"/>
    <mergeCell ref="T39:U39"/>
    <mergeCell ref="T40:U40"/>
    <mergeCell ref="T35:U35"/>
    <mergeCell ref="T32:U32"/>
    <mergeCell ref="T33:U33"/>
    <mergeCell ref="T34:U34"/>
    <mergeCell ref="T29:U29"/>
    <mergeCell ref="T26:U26"/>
    <mergeCell ref="T27:U27"/>
    <mergeCell ref="T28:U28"/>
    <mergeCell ref="M50:N50"/>
    <mergeCell ref="M51:N51"/>
    <mergeCell ref="M52:N52"/>
    <mergeCell ref="M53:N53"/>
    <mergeCell ref="I54:L54"/>
    <mergeCell ref="M43:N43"/>
    <mergeCell ref="M44:N44"/>
    <mergeCell ref="M45:N45"/>
    <mergeCell ref="M46:N46"/>
    <mergeCell ref="M47:N47"/>
    <mergeCell ref="I48:L48"/>
    <mergeCell ref="M37:N37"/>
    <mergeCell ref="M38:N38"/>
    <mergeCell ref="T20:U20"/>
    <mergeCell ref="T21:U21"/>
    <mergeCell ref="T22:U22"/>
    <mergeCell ref="T14:U14"/>
    <mergeCell ref="T15:U15"/>
    <mergeCell ref="T16:U16"/>
    <mergeCell ref="T68:U68"/>
    <mergeCell ref="T69:U69"/>
    <mergeCell ref="T70:U70"/>
    <mergeCell ref="T65:U65"/>
    <mergeCell ref="T62:U62"/>
    <mergeCell ref="T63:U63"/>
    <mergeCell ref="T64:U64"/>
    <mergeCell ref="T59:U59"/>
    <mergeCell ref="T56:U56"/>
    <mergeCell ref="T57:U57"/>
    <mergeCell ref="T58:U58"/>
    <mergeCell ref="T53:U53"/>
    <mergeCell ref="T50:U50"/>
    <mergeCell ref="T51:U51"/>
    <mergeCell ref="T52:U52"/>
    <mergeCell ref="T47:U47"/>
    <mergeCell ref="T44:U44"/>
    <mergeCell ref="T45:U45"/>
    <mergeCell ref="T46:U46"/>
    <mergeCell ref="W18:Z18"/>
    <mergeCell ref="AA19:AB19"/>
    <mergeCell ref="AA20:AB20"/>
    <mergeCell ref="AA21:AB21"/>
    <mergeCell ref="AA22:AB22"/>
    <mergeCell ref="AA23:AB23"/>
    <mergeCell ref="W12:Z12"/>
    <mergeCell ref="AA13:AB13"/>
    <mergeCell ref="AA14:AB14"/>
    <mergeCell ref="AA15:AB15"/>
    <mergeCell ref="AA16:AB16"/>
    <mergeCell ref="AA17:AB17"/>
    <mergeCell ref="T77:U77"/>
    <mergeCell ref="W1:AA1"/>
    <mergeCell ref="W2:AA2"/>
    <mergeCell ref="W3:AA3"/>
    <mergeCell ref="W6:Z6"/>
    <mergeCell ref="AA7:AB7"/>
    <mergeCell ref="AA8:AB8"/>
    <mergeCell ref="AA9:AB9"/>
    <mergeCell ref="AA10:AB10"/>
    <mergeCell ref="AA11:AB11"/>
    <mergeCell ref="T8:U8"/>
    <mergeCell ref="T9:U9"/>
    <mergeCell ref="T10:U10"/>
    <mergeCell ref="T11:U11"/>
    <mergeCell ref="T17:U17"/>
    <mergeCell ref="T23:U23"/>
    <mergeCell ref="T74:U74"/>
    <mergeCell ref="T75:U75"/>
    <mergeCell ref="T76:U76"/>
    <mergeCell ref="T71:U71"/>
    <mergeCell ref="W36:Z36"/>
    <mergeCell ref="AA37:AB37"/>
    <mergeCell ref="AA38:AB38"/>
    <mergeCell ref="AA39:AB39"/>
    <mergeCell ref="AA40:AB40"/>
    <mergeCell ref="AA41:AB41"/>
    <mergeCell ref="W30:Z30"/>
    <mergeCell ref="AA31:AB31"/>
    <mergeCell ref="AA32:AB32"/>
    <mergeCell ref="AA33:AB33"/>
    <mergeCell ref="AA34:AB34"/>
    <mergeCell ref="AA35:AB35"/>
    <mergeCell ref="W24:Z24"/>
    <mergeCell ref="AA25:AB25"/>
    <mergeCell ref="AA26:AB26"/>
    <mergeCell ref="AA27:AB27"/>
    <mergeCell ref="AA28:AB28"/>
    <mergeCell ref="AA29:AB29"/>
    <mergeCell ref="W54:Z54"/>
    <mergeCell ref="AA55:AB55"/>
    <mergeCell ref="AA56:AB56"/>
    <mergeCell ref="AA57:AB57"/>
    <mergeCell ref="AA58:AB58"/>
    <mergeCell ref="AA59:AB59"/>
    <mergeCell ref="W48:Z48"/>
    <mergeCell ref="AA49:AB49"/>
    <mergeCell ref="AA50:AB50"/>
    <mergeCell ref="AA51:AB51"/>
    <mergeCell ref="AA52:AB52"/>
    <mergeCell ref="AA53:AB53"/>
    <mergeCell ref="W42:Z42"/>
    <mergeCell ref="AA43:AB43"/>
    <mergeCell ref="AA44:AB44"/>
    <mergeCell ref="AA45:AB45"/>
    <mergeCell ref="AA46:AB46"/>
    <mergeCell ref="AA47:AB47"/>
    <mergeCell ref="W72:Z72"/>
    <mergeCell ref="AA73:AB73"/>
    <mergeCell ref="AA74:AB74"/>
    <mergeCell ref="AA75:AB75"/>
    <mergeCell ref="AA76:AB76"/>
    <mergeCell ref="AA77:AB77"/>
    <mergeCell ref="W66:Z66"/>
    <mergeCell ref="AA67:AB67"/>
    <mergeCell ref="AA68:AB68"/>
    <mergeCell ref="AA69:AB69"/>
    <mergeCell ref="AA70:AB70"/>
    <mergeCell ref="AA71:AB71"/>
    <mergeCell ref="W60:Z60"/>
    <mergeCell ref="AA61:AB61"/>
    <mergeCell ref="AA62:AB62"/>
    <mergeCell ref="AA63:AB63"/>
    <mergeCell ref="AA64:AB64"/>
    <mergeCell ref="AA65:AB65"/>
    <mergeCell ref="AD24:AG24"/>
    <mergeCell ref="AH25:AI25"/>
    <mergeCell ref="AH26:AI26"/>
    <mergeCell ref="AH15:AI15"/>
    <mergeCell ref="AH16:AI16"/>
    <mergeCell ref="AH17:AI17"/>
    <mergeCell ref="AD18:AG18"/>
    <mergeCell ref="AH19:AI19"/>
    <mergeCell ref="AH20:AI20"/>
    <mergeCell ref="AH9:AI9"/>
    <mergeCell ref="AH10:AI10"/>
    <mergeCell ref="AH11:AI11"/>
    <mergeCell ref="AD12:AG12"/>
    <mergeCell ref="AH13:AI13"/>
    <mergeCell ref="AH14:AI14"/>
    <mergeCell ref="AD1:AH1"/>
    <mergeCell ref="AD2:AH2"/>
    <mergeCell ref="AD3:AH3"/>
    <mergeCell ref="AD6:AG6"/>
    <mergeCell ref="AH7:AI7"/>
    <mergeCell ref="AH8:AI8"/>
    <mergeCell ref="AD48:AG48"/>
    <mergeCell ref="AH49:AI49"/>
    <mergeCell ref="AH50:AI50"/>
    <mergeCell ref="AH39:AI39"/>
    <mergeCell ref="AH40:AI40"/>
    <mergeCell ref="AH41:AI41"/>
    <mergeCell ref="AD42:AG42"/>
    <mergeCell ref="AH43:AI43"/>
    <mergeCell ref="AH44:AI44"/>
    <mergeCell ref="AH33:AI33"/>
    <mergeCell ref="AH34:AI34"/>
    <mergeCell ref="AH35:AI35"/>
    <mergeCell ref="AD36:AG36"/>
    <mergeCell ref="AH37:AI37"/>
    <mergeCell ref="AH38:AI38"/>
    <mergeCell ref="AH27:AI27"/>
    <mergeCell ref="AH28:AI28"/>
    <mergeCell ref="AH29:AI29"/>
    <mergeCell ref="AD30:AG30"/>
    <mergeCell ref="AH31:AI31"/>
    <mergeCell ref="AH32:AI32"/>
    <mergeCell ref="AH76:AI76"/>
    <mergeCell ref="AH77:AI77"/>
    <mergeCell ref="AK1:AO1"/>
    <mergeCell ref="AK2:AO2"/>
    <mergeCell ref="AK3:AO3"/>
    <mergeCell ref="AK6:AN6"/>
    <mergeCell ref="AO7:AP7"/>
    <mergeCell ref="AO8:AP8"/>
    <mergeCell ref="AO9:AP9"/>
    <mergeCell ref="AH69:AI69"/>
    <mergeCell ref="AH70:AI70"/>
    <mergeCell ref="AH71:AI71"/>
    <mergeCell ref="AD72:AG72"/>
    <mergeCell ref="AH73:AI73"/>
    <mergeCell ref="AH74:AI74"/>
    <mergeCell ref="AH63:AI63"/>
    <mergeCell ref="AH64:AI64"/>
    <mergeCell ref="AH65:AI65"/>
    <mergeCell ref="AD66:AG66"/>
    <mergeCell ref="AH67:AI67"/>
    <mergeCell ref="AH68:AI68"/>
    <mergeCell ref="AH57:AI57"/>
    <mergeCell ref="AH58:AI58"/>
    <mergeCell ref="AH59:AI59"/>
    <mergeCell ref="AD60:AG60"/>
    <mergeCell ref="AH61:AI61"/>
    <mergeCell ref="AH62:AI62"/>
    <mergeCell ref="AH51:AI51"/>
    <mergeCell ref="AH52:AI52"/>
    <mergeCell ref="AH53:AI53"/>
    <mergeCell ref="AD54:AG54"/>
    <mergeCell ref="AH55:AI55"/>
    <mergeCell ref="AK24:AN24"/>
    <mergeCell ref="AO25:AP25"/>
    <mergeCell ref="AO26:AP26"/>
    <mergeCell ref="AO27:AP27"/>
    <mergeCell ref="AO16:AP16"/>
    <mergeCell ref="AO17:AP17"/>
    <mergeCell ref="AK18:AN18"/>
    <mergeCell ref="AO19:AP19"/>
    <mergeCell ref="AO20:AP20"/>
    <mergeCell ref="AO21:AP21"/>
    <mergeCell ref="AO10:AP10"/>
    <mergeCell ref="AO11:AP11"/>
    <mergeCell ref="AK12:AN12"/>
    <mergeCell ref="AO13:AP13"/>
    <mergeCell ref="AO14:AP14"/>
    <mergeCell ref="AO15:AP15"/>
    <mergeCell ref="AH75:AI75"/>
    <mergeCell ref="AH56:AI56"/>
    <mergeCell ref="AH45:AI45"/>
    <mergeCell ref="AH46:AI46"/>
    <mergeCell ref="AH47:AI47"/>
    <mergeCell ref="AH21:AI21"/>
    <mergeCell ref="AH22:AI22"/>
    <mergeCell ref="AH23:AI23"/>
    <mergeCell ref="AK48:AN48"/>
    <mergeCell ref="AO49:AP49"/>
    <mergeCell ref="AO50:AP50"/>
    <mergeCell ref="AO51:AP51"/>
    <mergeCell ref="AO40:AP40"/>
    <mergeCell ref="AO41:AP41"/>
    <mergeCell ref="AK42:AN42"/>
    <mergeCell ref="AO43:AP43"/>
    <mergeCell ref="AO44:AP44"/>
    <mergeCell ref="AO45:AP45"/>
    <mergeCell ref="AO34:AP34"/>
    <mergeCell ref="AO35:AP35"/>
    <mergeCell ref="AK36:AN36"/>
    <mergeCell ref="AO37:AP37"/>
    <mergeCell ref="AO38:AP38"/>
    <mergeCell ref="AO39:AP39"/>
    <mergeCell ref="AO28:AP28"/>
    <mergeCell ref="AO29:AP29"/>
    <mergeCell ref="AK30:AN30"/>
    <mergeCell ref="AO31:AP31"/>
    <mergeCell ref="AO32:AP32"/>
    <mergeCell ref="AO33:AP33"/>
    <mergeCell ref="AK72:AN72"/>
    <mergeCell ref="AO73:AP73"/>
    <mergeCell ref="AO74:AP74"/>
    <mergeCell ref="AO75:AP75"/>
    <mergeCell ref="AO64:AP64"/>
    <mergeCell ref="AO65:AP65"/>
    <mergeCell ref="AK66:AN66"/>
    <mergeCell ref="AO67:AP67"/>
    <mergeCell ref="AO68:AP68"/>
    <mergeCell ref="AO69:AP69"/>
    <mergeCell ref="AO58:AP58"/>
    <mergeCell ref="AO59:AP59"/>
    <mergeCell ref="AK60:AN60"/>
    <mergeCell ref="AO61:AP61"/>
    <mergeCell ref="AO62:AP62"/>
    <mergeCell ref="AO63:AP63"/>
    <mergeCell ref="AO52:AP52"/>
    <mergeCell ref="AO53:AP53"/>
    <mergeCell ref="AK54:AN54"/>
    <mergeCell ref="AO55:AP55"/>
    <mergeCell ref="AO56:AP56"/>
    <mergeCell ref="AO57:AP57"/>
    <mergeCell ref="AR18:AU18"/>
    <mergeCell ref="AV19:AW19"/>
    <mergeCell ref="AV20:AW20"/>
    <mergeCell ref="AV21:AW21"/>
    <mergeCell ref="AV22:AW22"/>
    <mergeCell ref="AV11:AW11"/>
    <mergeCell ref="AR12:AU12"/>
    <mergeCell ref="AV13:AW13"/>
    <mergeCell ref="AV14:AW14"/>
    <mergeCell ref="AV15:AW15"/>
    <mergeCell ref="AV16:AW16"/>
    <mergeCell ref="AO76:AP76"/>
    <mergeCell ref="AO77:AP77"/>
    <mergeCell ref="AR1:AV1"/>
    <mergeCell ref="AR2:AV2"/>
    <mergeCell ref="AR3:AV3"/>
    <mergeCell ref="AR6:AU6"/>
    <mergeCell ref="AV7:AW7"/>
    <mergeCell ref="AV8:AW8"/>
    <mergeCell ref="AV9:AW9"/>
    <mergeCell ref="AV10:AW10"/>
    <mergeCell ref="AO70:AP70"/>
    <mergeCell ref="AO71:AP71"/>
    <mergeCell ref="AO46:AP46"/>
    <mergeCell ref="AO47:AP47"/>
    <mergeCell ref="AO22:AP22"/>
    <mergeCell ref="AO23:AP23"/>
    <mergeCell ref="AR36:AU36"/>
    <mergeCell ref="AV37:AW37"/>
    <mergeCell ref="AV38:AW38"/>
    <mergeCell ref="AV39:AW39"/>
    <mergeCell ref="AV40:AW40"/>
    <mergeCell ref="AV29:AW29"/>
    <mergeCell ref="AR30:AU30"/>
    <mergeCell ref="AV31:AW31"/>
    <mergeCell ref="AV32:AW32"/>
    <mergeCell ref="AV33:AW33"/>
    <mergeCell ref="AV34:AW34"/>
    <mergeCell ref="AV23:AW23"/>
    <mergeCell ref="AR24:AU24"/>
    <mergeCell ref="AV25:AW25"/>
    <mergeCell ref="AV26:AW26"/>
    <mergeCell ref="AV27:AW27"/>
    <mergeCell ref="AV28:AW28"/>
    <mergeCell ref="AR54:AU54"/>
    <mergeCell ref="AV55:AW55"/>
    <mergeCell ref="AV56:AW56"/>
    <mergeCell ref="AV57:AW57"/>
    <mergeCell ref="AV58:AW58"/>
    <mergeCell ref="AV47:AW47"/>
    <mergeCell ref="AR48:AU48"/>
    <mergeCell ref="AV49:AW49"/>
    <mergeCell ref="AV50:AW50"/>
    <mergeCell ref="AV51:AW51"/>
    <mergeCell ref="AV52:AW52"/>
    <mergeCell ref="AV41:AW41"/>
    <mergeCell ref="AR42:AU42"/>
    <mergeCell ref="AV43:AW43"/>
    <mergeCell ref="AV44:AW44"/>
    <mergeCell ref="AV45:AW45"/>
    <mergeCell ref="AV46:AW46"/>
    <mergeCell ref="AR72:AU72"/>
    <mergeCell ref="AV73:AW73"/>
    <mergeCell ref="AV74:AW74"/>
    <mergeCell ref="AV75:AW75"/>
    <mergeCell ref="AV76:AW76"/>
    <mergeCell ref="AV65:AW65"/>
    <mergeCell ref="AR66:AU66"/>
    <mergeCell ref="AV67:AW67"/>
    <mergeCell ref="AV68:AW68"/>
    <mergeCell ref="AV69:AW69"/>
    <mergeCell ref="AV70:AW70"/>
    <mergeCell ref="AV59:AW59"/>
    <mergeCell ref="AR60:AU60"/>
    <mergeCell ref="AV61:AW61"/>
    <mergeCell ref="AV62:AW62"/>
    <mergeCell ref="AV63:AW63"/>
    <mergeCell ref="AV64:AW64"/>
    <mergeCell ref="AY18:BB18"/>
    <mergeCell ref="BC19:BD19"/>
    <mergeCell ref="BC20:BD20"/>
    <mergeCell ref="BC21:BD21"/>
    <mergeCell ref="BC22:BD22"/>
    <mergeCell ref="BC23:BD23"/>
    <mergeCell ref="AY12:BB12"/>
    <mergeCell ref="BC13:BD13"/>
    <mergeCell ref="BC14:BD14"/>
    <mergeCell ref="BC15:BD15"/>
    <mergeCell ref="BC16:BD16"/>
    <mergeCell ref="BC17:BD17"/>
    <mergeCell ref="AV77:AW77"/>
    <mergeCell ref="AY1:BC1"/>
    <mergeCell ref="AY2:BC2"/>
    <mergeCell ref="AY3:BC3"/>
    <mergeCell ref="AY6:BB6"/>
    <mergeCell ref="BC7:BD7"/>
    <mergeCell ref="BC8:BD8"/>
    <mergeCell ref="BC9:BD9"/>
    <mergeCell ref="BC10:BD10"/>
    <mergeCell ref="BC11:BD11"/>
    <mergeCell ref="AV71:AW71"/>
    <mergeCell ref="AV53:AW53"/>
    <mergeCell ref="AV35:AW35"/>
    <mergeCell ref="AV17:AW17"/>
    <mergeCell ref="AY36:BB36"/>
    <mergeCell ref="BC37:BD37"/>
    <mergeCell ref="BC38:BD38"/>
    <mergeCell ref="BC39:BD39"/>
    <mergeCell ref="BC40:BD40"/>
    <mergeCell ref="BC41:BD41"/>
    <mergeCell ref="AY72:BB72"/>
    <mergeCell ref="BC73:BD73"/>
    <mergeCell ref="BC74:BD74"/>
    <mergeCell ref="BC75:BD75"/>
    <mergeCell ref="AY30:BB30"/>
    <mergeCell ref="BC31:BD31"/>
    <mergeCell ref="BC32:BD32"/>
    <mergeCell ref="BC33:BD33"/>
    <mergeCell ref="BC34:BD34"/>
    <mergeCell ref="BC35:BD35"/>
    <mergeCell ref="AY24:BB24"/>
    <mergeCell ref="BC25:BD25"/>
    <mergeCell ref="BC26:BD26"/>
    <mergeCell ref="BC27:BD27"/>
    <mergeCell ref="BC28:BD28"/>
    <mergeCell ref="BC29:BD29"/>
    <mergeCell ref="AY54:BB54"/>
    <mergeCell ref="BC55:BD55"/>
    <mergeCell ref="BC56:BD56"/>
    <mergeCell ref="BC57:BD57"/>
    <mergeCell ref="BC58:BD58"/>
    <mergeCell ref="BJ43:BK43"/>
    <mergeCell ref="BJ44:BK44"/>
    <mergeCell ref="BJ33:BK33"/>
    <mergeCell ref="BJ34:BK34"/>
    <mergeCell ref="BJ35:BK35"/>
    <mergeCell ref="BF36:BI36"/>
    <mergeCell ref="BJ37:BK37"/>
    <mergeCell ref="BJ38:BK38"/>
    <mergeCell ref="BC59:BD59"/>
    <mergeCell ref="AY48:BB48"/>
    <mergeCell ref="BC49:BD49"/>
    <mergeCell ref="BC50:BD50"/>
    <mergeCell ref="BC51:BD51"/>
    <mergeCell ref="BC52:BD52"/>
    <mergeCell ref="BC53:BD53"/>
    <mergeCell ref="AY42:BB42"/>
    <mergeCell ref="BC43:BD43"/>
    <mergeCell ref="BC44:BD44"/>
    <mergeCell ref="BC45:BD45"/>
    <mergeCell ref="BC46:BD46"/>
    <mergeCell ref="BC47:BD47"/>
    <mergeCell ref="BJ9:BK9"/>
    <mergeCell ref="BJ10:BK10"/>
    <mergeCell ref="BJ11:BK11"/>
    <mergeCell ref="BF12:BI12"/>
    <mergeCell ref="BJ13:BK13"/>
    <mergeCell ref="BJ14:BK14"/>
    <mergeCell ref="BF1:BJ1"/>
    <mergeCell ref="BF2:BJ2"/>
    <mergeCell ref="BF3:BJ3"/>
    <mergeCell ref="BF6:BI6"/>
    <mergeCell ref="BJ7:BK7"/>
    <mergeCell ref="BJ8:BK8"/>
    <mergeCell ref="BC76:BD76"/>
    <mergeCell ref="BC77:BD77"/>
    <mergeCell ref="AY66:BB66"/>
    <mergeCell ref="BC67:BD67"/>
    <mergeCell ref="BC68:BD68"/>
    <mergeCell ref="BC69:BD69"/>
    <mergeCell ref="BC70:BD70"/>
    <mergeCell ref="BC71:BD71"/>
    <mergeCell ref="AY60:BB60"/>
    <mergeCell ref="BC61:BD61"/>
    <mergeCell ref="BC62:BD62"/>
    <mergeCell ref="BC63:BD63"/>
    <mergeCell ref="BC64:BD64"/>
    <mergeCell ref="BC65:BD65"/>
    <mergeCell ref="BF24:BI24"/>
    <mergeCell ref="BJ25:BK25"/>
    <mergeCell ref="BJ26:BK26"/>
    <mergeCell ref="BF48:BI48"/>
    <mergeCell ref="BJ49:BK49"/>
    <mergeCell ref="BJ50:BK50"/>
    <mergeCell ref="BJ76:BK76"/>
    <mergeCell ref="BJ77:BK77"/>
    <mergeCell ref="BM1:BQ1"/>
    <mergeCell ref="BM2:BQ2"/>
    <mergeCell ref="BM3:BQ3"/>
    <mergeCell ref="BM6:BP6"/>
    <mergeCell ref="BQ7:BR7"/>
    <mergeCell ref="BQ8:BR8"/>
    <mergeCell ref="BQ9:BR9"/>
    <mergeCell ref="BJ69:BK69"/>
    <mergeCell ref="BJ70:BK70"/>
    <mergeCell ref="BJ71:BK71"/>
    <mergeCell ref="BF72:BI72"/>
    <mergeCell ref="BJ73:BK73"/>
    <mergeCell ref="BJ74:BK74"/>
    <mergeCell ref="BJ63:BK63"/>
    <mergeCell ref="BJ64:BK64"/>
    <mergeCell ref="BJ65:BK65"/>
    <mergeCell ref="BF66:BI66"/>
    <mergeCell ref="BJ67:BK67"/>
    <mergeCell ref="BJ68:BK68"/>
    <mergeCell ref="BJ57:BK57"/>
    <mergeCell ref="BJ58:BK58"/>
    <mergeCell ref="BJ59:BK59"/>
    <mergeCell ref="BF60:BI60"/>
    <mergeCell ref="BJ61:BK61"/>
    <mergeCell ref="BJ15:BK15"/>
    <mergeCell ref="BJ16:BK16"/>
    <mergeCell ref="BJ17:BK17"/>
    <mergeCell ref="BF18:BI18"/>
    <mergeCell ref="BJ19:BK19"/>
    <mergeCell ref="BJ20:BK20"/>
    <mergeCell ref="BJ62:BK62"/>
    <mergeCell ref="BJ51:BK51"/>
    <mergeCell ref="BJ52:BK52"/>
    <mergeCell ref="BJ53:BK53"/>
    <mergeCell ref="BF54:BI54"/>
    <mergeCell ref="BJ55:BK55"/>
    <mergeCell ref="BM24:BP24"/>
    <mergeCell ref="BQ25:BR25"/>
    <mergeCell ref="BQ26:BR26"/>
    <mergeCell ref="BQ27:BR27"/>
    <mergeCell ref="BQ16:BR16"/>
    <mergeCell ref="BQ17:BR17"/>
    <mergeCell ref="BM18:BP18"/>
    <mergeCell ref="BQ19:BR19"/>
    <mergeCell ref="BQ20:BR20"/>
    <mergeCell ref="BQ21:BR21"/>
    <mergeCell ref="BQ10:BR10"/>
    <mergeCell ref="BQ11:BR11"/>
    <mergeCell ref="BM12:BP12"/>
    <mergeCell ref="BQ13:BR13"/>
    <mergeCell ref="BQ14:BR14"/>
    <mergeCell ref="BQ15:BR15"/>
    <mergeCell ref="BJ27:BK27"/>
    <mergeCell ref="BJ28:BK28"/>
    <mergeCell ref="BJ29:BK29"/>
    <mergeCell ref="BF30:BI30"/>
    <mergeCell ref="BJ31:BK31"/>
    <mergeCell ref="BJ32:BK32"/>
    <mergeCell ref="BJ39:BK39"/>
    <mergeCell ref="BJ40:BK40"/>
    <mergeCell ref="BJ41:BK41"/>
    <mergeCell ref="BF42:BI42"/>
    <mergeCell ref="BJ75:BK75"/>
    <mergeCell ref="BJ56:BK56"/>
    <mergeCell ref="BJ45:BK45"/>
    <mergeCell ref="BJ46:BK46"/>
    <mergeCell ref="BJ47:BK47"/>
    <mergeCell ref="BJ21:BK21"/>
    <mergeCell ref="BJ22:BK22"/>
    <mergeCell ref="BJ23:BK23"/>
    <mergeCell ref="BM48:BP48"/>
    <mergeCell ref="BQ49:BR49"/>
    <mergeCell ref="BQ50:BR50"/>
    <mergeCell ref="BQ51:BR51"/>
    <mergeCell ref="BQ40:BR40"/>
    <mergeCell ref="BQ41:BR41"/>
    <mergeCell ref="BM42:BP42"/>
    <mergeCell ref="BQ43:BR43"/>
    <mergeCell ref="BQ44:BR44"/>
    <mergeCell ref="BQ45:BR45"/>
    <mergeCell ref="BQ34:BR34"/>
    <mergeCell ref="BQ35:BR35"/>
    <mergeCell ref="BM36:BP36"/>
    <mergeCell ref="BQ37:BR37"/>
    <mergeCell ref="BQ38:BR38"/>
    <mergeCell ref="BQ39:BR39"/>
    <mergeCell ref="BQ28:BR28"/>
    <mergeCell ref="BQ29:BR29"/>
    <mergeCell ref="BM30:BP30"/>
    <mergeCell ref="BQ31:BR31"/>
    <mergeCell ref="BQ32:BR32"/>
    <mergeCell ref="BQ33:BR33"/>
    <mergeCell ref="BM72:BP72"/>
    <mergeCell ref="BQ73:BR73"/>
    <mergeCell ref="BQ74:BR74"/>
    <mergeCell ref="BQ75:BR75"/>
    <mergeCell ref="BQ64:BR64"/>
    <mergeCell ref="BQ65:BR65"/>
    <mergeCell ref="BM66:BP66"/>
    <mergeCell ref="BQ67:BR67"/>
    <mergeCell ref="BQ68:BR68"/>
    <mergeCell ref="BQ69:BR69"/>
    <mergeCell ref="BQ58:BR58"/>
    <mergeCell ref="BQ59:BR59"/>
    <mergeCell ref="BM60:BP60"/>
    <mergeCell ref="BQ61:BR61"/>
    <mergeCell ref="BQ62:BR62"/>
    <mergeCell ref="BQ63:BR63"/>
    <mergeCell ref="BQ52:BR52"/>
    <mergeCell ref="BQ53:BR53"/>
    <mergeCell ref="BM54:BP54"/>
    <mergeCell ref="BQ55:BR55"/>
    <mergeCell ref="BQ56:BR56"/>
    <mergeCell ref="BQ57:BR57"/>
    <mergeCell ref="BT18:BW18"/>
    <mergeCell ref="BX19:BY19"/>
    <mergeCell ref="BX20:BY20"/>
    <mergeCell ref="BX21:BY21"/>
    <mergeCell ref="BX22:BY22"/>
    <mergeCell ref="BX11:BY11"/>
    <mergeCell ref="BT12:BW12"/>
    <mergeCell ref="BX13:BY13"/>
    <mergeCell ref="BX14:BY14"/>
    <mergeCell ref="BX15:BY15"/>
    <mergeCell ref="BX16:BY16"/>
    <mergeCell ref="BQ76:BR76"/>
    <mergeCell ref="BQ77:BR77"/>
    <mergeCell ref="BT1:BX1"/>
    <mergeCell ref="BT2:BX2"/>
    <mergeCell ref="BT3:BX3"/>
    <mergeCell ref="BT6:BW6"/>
    <mergeCell ref="BX7:BY7"/>
    <mergeCell ref="BX8:BY8"/>
    <mergeCell ref="BX9:BY9"/>
    <mergeCell ref="BX10:BY10"/>
    <mergeCell ref="BQ70:BR70"/>
    <mergeCell ref="BQ71:BR71"/>
    <mergeCell ref="BQ46:BR46"/>
    <mergeCell ref="BQ47:BR47"/>
    <mergeCell ref="BQ22:BR22"/>
    <mergeCell ref="BQ23:BR23"/>
    <mergeCell ref="BT36:BW36"/>
    <mergeCell ref="BX37:BY37"/>
    <mergeCell ref="BX38:BY38"/>
    <mergeCell ref="BX39:BY39"/>
    <mergeCell ref="BX40:BY40"/>
    <mergeCell ref="BX29:BY29"/>
    <mergeCell ref="BT30:BW30"/>
    <mergeCell ref="BX31:BY31"/>
    <mergeCell ref="BX32:BY32"/>
    <mergeCell ref="BX33:BY33"/>
    <mergeCell ref="BX34:BY34"/>
    <mergeCell ref="BX23:BY23"/>
    <mergeCell ref="BT24:BW24"/>
    <mergeCell ref="BX25:BY25"/>
    <mergeCell ref="BX26:BY26"/>
    <mergeCell ref="BX27:BY27"/>
    <mergeCell ref="BX28:BY28"/>
    <mergeCell ref="BT54:BW54"/>
    <mergeCell ref="BX55:BY55"/>
    <mergeCell ref="BX56:BY56"/>
    <mergeCell ref="BX57:BY57"/>
    <mergeCell ref="BX58:BY58"/>
    <mergeCell ref="BX47:BY47"/>
    <mergeCell ref="BT48:BW48"/>
    <mergeCell ref="BX49:BY49"/>
    <mergeCell ref="BX50:BY50"/>
    <mergeCell ref="BX51:BY51"/>
    <mergeCell ref="BX52:BY52"/>
    <mergeCell ref="BX41:BY41"/>
    <mergeCell ref="BT42:BW42"/>
    <mergeCell ref="BX43:BY43"/>
    <mergeCell ref="BX44:BY44"/>
    <mergeCell ref="BX45:BY45"/>
    <mergeCell ref="BX46:BY46"/>
    <mergeCell ref="BT72:BW72"/>
    <mergeCell ref="BX73:BY73"/>
    <mergeCell ref="BX74:BY74"/>
    <mergeCell ref="BX75:BY75"/>
    <mergeCell ref="BX76:BY76"/>
    <mergeCell ref="BX65:BY65"/>
    <mergeCell ref="BT66:BW66"/>
    <mergeCell ref="BX67:BY67"/>
    <mergeCell ref="BX68:BY68"/>
    <mergeCell ref="BX69:BY69"/>
    <mergeCell ref="BX70:BY70"/>
    <mergeCell ref="BX59:BY59"/>
    <mergeCell ref="BT60:BW60"/>
    <mergeCell ref="BX61:BY61"/>
    <mergeCell ref="BX62:BY62"/>
    <mergeCell ref="BX63:BY63"/>
    <mergeCell ref="BX64:BY64"/>
    <mergeCell ref="CE15:CF15"/>
    <mergeCell ref="CE16:CF16"/>
    <mergeCell ref="CE17:CF17"/>
    <mergeCell ref="CA18:CD18"/>
    <mergeCell ref="CE19:CF19"/>
    <mergeCell ref="CE20:CF20"/>
    <mergeCell ref="BX77:BY77"/>
    <mergeCell ref="CA6:CD6"/>
    <mergeCell ref="CE7:CF7"/>
    <mergeCell ref="CE8:CF8"/>
    <mergeCell ref="CE9:CF9"/>
    <mergeCell ref="CE10:CF10"/>
    <mergeCell ref="CE11:CF11"/>
    <mergeCell ref="CA12:CD12"/>
    <mergeCell ref="CE13:CF13"/>
    <mergeCell ref="CE14:CF14"/>
    <mergeCell ref="BX71:BY71"/>
    <mergeCell ref="BX53:BY53"/>
    <mergeCell ref="BX35:BY35"/>
    <mergeCell ref="BX17:BY17"/>
    <mergeCell ref="CE33:CF33"/>
    <mergeCell ref="CE34:CF34"/>
    <mergeCell ref="CE35:CF35"/>
    <mergeCell ref="CA36:CD36"/>
    <mergeCell ref="CE37:CF37"/>
    <mergeCell ref="CE38:CF38"/>
    <mergeCell ref="CE27:CF27"/>
    <mergeCell ref="CE28:CF28"/>
    <mergeCell ref="CE29:CF29"/>
    <mergeCell ref="CA30:CD30"/>
    <mergeCell ref="CE31:CF31"/>
    <mergeCell ref="CE32:CF32"/>
    <mergeCell ref="CE21:CF21"/>
    <mergeCell ref="CE22:CF22"/>
    <mergeCell ref="CE23:CF23"/>
    <mergeCell ref="CA24:CD24"/>
    <mergeCell ref="CE25:CF25"/>
    <mergeCell ref="CE26:CF26"/>
    <mergeCell ref="CE59:CF59"/>
    <mergeCell ref="CA60:CD60"/>
    <mergeCell ref="CE61:CF61"/>
    <mergeCell ref="CE62:CF62"/>
    <mergeCell ref="CE51:CF51"/>
    <mergeCell ref="CE52:CF52"/>
    <mergeCell ref="CE53:CF53"/>
    <mergeCell ref="CA54:CD54"/>
    <mergeCell ref="CE55:CF55"/>
    <mergeCell ref="CE56:CF56"/>
    <mergeCell ref="CE45:CF45"/>
    <mergeCell ref="CE46:CF46"/>
    <mergeCell ref="CE47:CF47"/>
    <mergeCell ref="CA48:CD48"/>
    <mergeCell ref="CE49:CF49"/>
    <mergeCell ref="CE50:CF50"/>
    <mergeCell ref="CE39:CF39"/>
    <mergeCell ref="CE40:CF40"/>
    <mergeCell ref="CE41:CF41"/>
    <mergeCell ref="CA42:CD42"/>
    <mergeCell ref="CE43:CF43"/>
    <mergeCell ref="CE44:CF44"/>
    <mergeCell ref="CL14:CM14"/>
    <mergeCell ref="CH1:CL1"/>
    <mergeCell ref="CH2:CL2"/>
    <mergeCell ref="CH3:CL3"/>
    <mergeCell ref="CH6:CK6"/>
    <mergeCell ref="CL7:CM7"/>
    <mergeCell ref="CL8:CM8"/>
    <mergeCell ref="CE75:CF75"/>
    <mergeCell ref="CE76:CF76"/>
    <mergeCell ref="CE77:CF77"/>
    <mergeCell ref="CA1:CE1"/>
    <mergeCell ref="CA2:CE2"/>
    <mergeCell ref="CA3:CE3"/>
    <mergeCell ref="CE69:CF69"/>
    <mergeCell ref="CE70:CF70"/>
    <mergeCell ref="CE71:CF71"/>
    <mergeCell ref="CA72:CD72"/>
    <mergeCell ref="CE73:CF73"/>
    <mergeCell ref="CE74:CF74"/>
    <mergeCell ref="CE63:CF63"/>
    <mergeCell ref="CE64:CF64"/>
    <mergeCell ref="CE65:CF65"/>
    <mergeCell ref="CA66:CD66"/>
    <mergeCell ref="CE67:CF67"/>
    <mergeCell ref="CE68:CF68"/>
    <mergeCell ref="CE57:CF57"/>
    <mergeCell ref="CE58:CF58"/>
    <mergeCell ref="CL27:CM27"/>
    <mergeCell ref="CL28:CM28"/>
    <mergeCell ref="CL29:CM29"/>
    <mergeCell ref="CH30:CK30"/>
    <mergeCell ref="CL31:CM31"/>
    <mergeCell ref="CL32:CM32"/>
    <mergeCell ref="CL21:CM21"/>
    <mergeCell ref="CL22:CM22"/>
    <mergeCell ref="CL23:CM23"/>
    <mergeCell ref="CH24:CK24"/>
    <mergeCell ref="CL25:CM25"/>
    <mergeCell ref="CL26:CM26"/>
    <mergeCell ref="CL15:CM15"/>
    <mergeCell ref="CL16:CM16"/>
    <mergeCell ref="CL17:CM17"/>
    <mergeCell ref="CH18:CK18"/>
    <mergeCell ref="CL19:CM19"/>
    <mergeCell ref="CL20:CM20"/>
    <mergeCell ref="CL55:CM55"/>
    <mergeCell ref="CL56:CM56"/>
    <mergeCell ref="CL45:CM45"/>
    <mergeCell ref="CL46:CM46"/>
    <mergeCell ref="CL47:CM47"/>
    <mergeCell ref="CH48:CK48"/>
    <mergeCell ref="CL49:CM49"/>
    <mergeCell ref="CL50:CM50"/>
    <mergeCell ref="CL39:CM39"/>
    <mergeCell ref="CL40:CM40"/>
    <mergeCell ref="CL41:CM41"/>
    <mergeCell ref="CH42:CK42"/>
    <mergeCell ref="CL43:CM43"/>
    <mergeCell ref="CL44:CM44"/>
    <mergeCell ref="CL33:CM33"/>
    <mergeCell ref="CL34:CM34"/>
    <mergeCell ref="CL35:CM35"/>
    <mergeCell ref="CH36:CK36"/>
    <mergeCell ref="CL37:CM37"/>
    <mergeCell ref="CL38:CM38"/>
    <mergeCell ref="CL75:CM75"/>
    <mergeCell ref="CL76:CM76"/>
    <mergeCell ref="CL77:CM77"/>
    <mergeCell ref="CO1:CS1"/>
    <mergeCell ref="CO2:CS2"/>
    <mergeCell ref="CO3:CS3"/>
    <mergeCell ref="CO6:CR6"/>
    <mergeCell ref="CS7:CT7"/>
    <mergeCell ref="CS8:CT8"/>
    <mergeCell ref="CS9:CT9"/>
    <mergeCell ref="CL69:CM69"/>
    <mergeCell ref="CL70:CM70"/>
    <mergeCell ref="CL71:CM71"/>
    <mergeCell ref="CH72:CK72"/>
    <mergeCell ref="CL73:CM73"/>
    <mergeCell ref="CL74:CM74"/>
    <mergeCell ref="CL63:CM63"/>
    <mergeCell ref="CL64:CM64"/>
    <mergeCell ref="CL65:CM65"/>
    <mergeCell ref="CH66:CK66"/>
    <mergeCell ref="CL67:CM67"/>
    <mergeCell ref="CL68:CM68"/>
    <mergeCell ref="CL57:CM57"/>
    <mergeCell ref="CL58:CM58"/>
    <mergeCell ref="CL59:CM59"/>
    <mergeCell ref="CH60:CK60"/>
    <mergeCell ref="CL61:CM61"/>
    <mergeCell ref="CL62:CM62"/>
    <mergeCell ref="CL51:CM51"/>
    <mergeCell ref="CL52:CM52"/>
    <mergeCell ref="CL53:CM53"/>
    <mergeCell ref="CH54:CK54"/>
    <mergeCell ref="CS22:CT22"/>
    <mergeCell ref="CS23:CT23"/>
    <mergeCell ref="CO24:CR24"/>
    <mergeCell ref="CS25:CT25"/>
    <mergeCell ref="CS26:CT26"/>
    <mergeCell ref="CS27:CT27"/>
    <mergeCell ref="CS16:CT16"/>
    <mergeCell ref="CS17:CT17"/>
    <mergeCell ref="CO18:CR18"/>
    <mergeCell ref="CS19:CT19"/>
    <mergeCell ref="CS20:CT20"/>
    <mergeCell ref="CS21:CT21"/>
    <mergeCell ref="CS10:CT10"/>
    <mergeCell ref="CS11:CT11"/>
    <mergeCell ref="CO12:CR12"/>
    <mergeCell ref="CS13:CT13"/>
    <mergeCell ref="CS14:CT14"/>
    <mergeCell ref="CS15:CT15"/>
    <mergeCell ref="CS50:CT50"/>
    <mergeCell ref="CS51:CT51"/>
    <mergeCell ref="CS40:CT40"/>
    <mergeCell ref="CS41:CT41"/>
    <mergeCell ref="CO42:CR42"/>
    <mergeCell ref="CS43:CT43"/>
    <mergeCell ref="CS34:CT34"/>
    <mergeCell ref="CS35:CT35"/>
    <mergeCell ref="CO36:CR36"/>
    <mergeCell ref="CS37:CT37"/>
    <mergeCell ref="CS38:CT38"/>
    <mergeCell ref="CS39:CT39"/>
    <mergeCell ref="CS28:CT28"/>
    <mergeCell ref="CS29:CT29"/>
    <mergeCell ref="CO30:CR30"/>
    <mergeCell ref="CS31:CT31"/>
    <mergeCell ref="CS32:CT32"/>
    <mergeCell ref="CS33:CT33"/>
    <mergeCell ref="CS77:CT77"/>
    <mergeCell ref="CS44:CT44"/>
    <mergeCell ref="CS45:CT45"/>
    <mergeCell ref="CO48:CR48"/>
    <mergeCell ref="CS49:CT49"/>
    <mergeCell ref="CO54:CR54"/>
    <mergeCell ref="CS55:CT55"/>
    <mergeCell ref="CS57:CT57"/>
    <mergeCell ref="CS71:CT71"/>
    <mergeCell ref="CS73:CT73"/>
    <mergeCell ref="CS75:CT75"/>
    <mergeCell ref="CS76:CT76"/>
    <mergeCell ref="CO72:CR72"/>
    <mergeCell ref="CS74:CT74"/>
    <mergeCell ref="CS65:CT65"/>
    <mergeCell ref="CS67:CT67"/>
    <mergeCell ref="CS69:CT69"/>
    <mergeCell ref="CS70:CT70"/>
    <mergeCell ref="CO66:CR66"/>
    <mergeCell ref="CS68:CT68"/>
    <mergeCell ref="CS59:CT59"/>
    <mergeCell ref="CS61:CT61"/>
    <mergeCell ref="CS63:CT63"/>
    <mergeCell ref="CS64:CT64"/>
    <mergeCell ref="CO60:CR60"/>
    <mergeCell ref="CS62:CT62"/>
    <mergeCell ref="CS52:CT52"/>
    <mergeCell ref="CS53:CT53"/>
    <mergeCell ref="CS56:CT56"/>
    <mergeCell ref="CS58:CT58"/>
    <mergeCell ref="CS46:CT46"/>
    <mergeCell ref="CS47:CT47"/>
    <mergeCell ref="CZ15:DA15"/>
    <mergeCell ref="CZ16:DA16"/>
    <mergeCell ref="CZ17:DA17"/>
    <mergeCell ref="CV18:CY18"/>
    <mergeCell ref="CZ19:DA19"/>
    <mergeCell ref="CZ20:DA20"/>
    <mergeCell ref="CZ9:DA9"/>
    <mergeCell ref="CZ10:DA10"/>
    <mergeCell ref="CZ11:DA11"/>
    <mergeCell ref="CV12:CY12"/>
    <mergeCell ref="CZ13:DA13"/>
    <mergeCell ref="CZ14:DA14"/>
    <mergeCell ref="CZ51:DA51"/>
    <mergeCell ref="CZ52:DA52"/>
    <mergeCell ref="CZ53:DA53"/>
    <mergeCell ref="CV54:CY54"/>
    <mergeCell ref="CZ55:DA55"/>
    <mergeCell ref="CZ56:DA56"/>
    <mergeCell ref="CZ45:DA45"/>
    <mergeCell ref="CZ46:DA46"/>
    <mergeCell ref="CZ47:DA47"/>
    <mergeCell ref="CV48:CY48"/>
    <mergeCell ref="CZ49:DA49"/>
    <mergeCell ref="CZ50:DA50"/>
    <mergeCell ref="CZ39:DA39"/>
    <mergeCell ref="CZ40:DA40"/>
    <mergeCell ref="CZ41:DA41"/>
    <mergeCell ref="CV2:CZ2"/>
    <mergeCell ref="CV3:CZ3"/>
    <mergeCell ref="CV6:CY6"/>
    <mergeCell ref="CZ7:DA7"/>
    <mergeCell ref="CZ8:DA8"/>
    <mergeCell ref="CZ33:DA33"/>
    <mergeCell ref="CZ34:DA34"/>
    <mergeCell ref="CZ35:DA35"/>
    <mergeCell ref="CV36:CY36"/>
    <mergeCell ref="CZ37:DA37"/>
    <mergeCell ref="CZ38:DA38"/>
    <mergeCell ref="CZ27:DA27"/>
    <mergeCell ref="CZ28:DA28"/>
    <mergeCell ref="CZ29:DA29"/>
    <mergeCell ref="CV30:CY30"/>
    <mergeCell ref="CZ31:DA31"/>
    <mergeCell ref="CZ32:DA32"/>
    <mergeCell ref="CZ21:DA21"/>
    <mergeCell ref="CZ22:DA22"/>
    <mergeCell ref="CZ23:DA23"/>
    <mergeCell ref="CV24:CY24"/>
    <mergeCell ref="CZ25:DA25"/>
    <mergeCell ref="CZ26:DA26"/>
    <mergeCell ref="CV42:CY42"/>
    <mergeCell ref="CZ43:DA43"/>
    <mergeCell ref="CZ44:DA44"/>
    <mergeCell ref="CZ75:DA75"/>
    <mergeCell ref="CZ76:DA76"/>
    <mergeCell ref="CZ77:DA77"/>
    <mergeCell ref="CZ69:DA69"/>
    <mergeCell ref="CZ70:DA70"/>
    <mergeCell ref="CZ71:DA71"/>
    <mergeCell ref="CV72:CY72"/>
    <mergeCell ref="CZ73:DA73"/>
    <mergeCell ref="CZ74:DA74"/>
    <mergeCell ref="CZ63:DA63"/>
    <mergeCell ref="CZ64:DA64"/>
    <mergeCell ref="CZ65:DA65"/>
    <mergeCell ref="CV66:CY66"/>
    <mergeCell ref="CZ67:DA67"/>
    <mergeCell ref="CZ68:DA68"/>
    <mergeCell ref="CZ57:DA57"/>
    <mergeCell ref="CZ58:DA58"/>
    <mergeCell ref="CZ59:DA59"/>
    <mergeCell ref="CV60:CY60"/>
    <mergeCell ref="CZ61:DA61"/>
    <mergeCell ref="CZ62:DA62"/>
  </mergeCells>
  <hyperlinks>
    <hyperlink ref="B3" r:id="rId1" xr:uid="{152D6082-4D4E-0C48-AEC9-5246E5A9151E}"/>
    <hyperlink ref="I3" r:id="rId2" xr:uid="{F37A8B83-44FB-4A4C-A0E3-CCE3C39EDA4C}"/>
    <hyperlink ref="W3" r:id="rId3" xr:uid="{655371BA-FAEA-4642-8E40-63B83DEDE898}"/>
    <hyperlink ref="AD3" r:id="rId4" xr:uid="{5B2F3CE1-979D-AC44-B361-71C9D5A5577D}"/>
    <hyperlink ref="AK3" r:id="rId5" xr:uid="{B55ECBA0-F353-0245-825C-508A7346DFA2}"/>
    <hyperlink ref="AR3" r:id="rId6" xr:uid="{29BA7FF8-A031-4648-BEF8-9DD7D023F881}"/>
    <hyperlink ref="AY3" r:id="rId7" xr:uid="{73C06836-4A71-9D46-907D-495AD8DDD86E}"/>
    <hyperlink ref="BF3" r:id="rId8" xr:uid="{967409B6-7749-D446-B86C-7B851A46AA00}"/>
    <hyperlink ref="BT3" r:id="rId9" xr:uid="{4CA643A7-1BE6-1942-977E-E60D2DD0FD24}"/>
    <hyperlink ref="CH3" r:id="rId10" xr:uid="{4B157433-536D-1044-BB3B-A3FA9EAD2C4B}"/>
    <hyperlink ref="CO3" r:id="rId11" display="mailto:secretaria.general@cesa.edu.co" xr:uid="{137EBBA2-54AD-D14A-A6E0-1262E5AF3F83}"/>
    <hyperlink ref="CV3" r:id="rId12" display="gerencia@proyectamoscolombia.com" xr:uid="{443A6597-B55B-6F48-A371-B00DF7169AE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291AF-E2BE-014B-B026-BAAC3DAF2F51}">
  <dimension ref="A2:J30"/>
  <sheetViews>
    <sheetView topLeftCell="A2" workbookViewId="0">
      <selection activeCell="D27" sqref="D27"/>
    </sheetView>
  </sheetViews>
  <sheetFormatPr baseColWidth="10" defaultRowHeight="16" x14ac:dyDescent="0.2"/>
  <cols>
    <col min="1" max="1" width="22.5" bestFit="1" customWidth="1"/>
    <col min="2" max="7" width="20.83203125" customWidth="1"/>
    <col min="8" max="8" width="3.5" customWidth="1"/>
  </cols>
  <sheetData>
    <row r="2" spans="1:7" x14ac:dyDescent="0.2">
      <c r="A2" s="77" t="s">
        <v>275</v>
      </c>
      <c r="B2" t="s">
        <v>278</v>
      </c>
      <c r="C2" s="81">
        <v>864000000</v>
      </c>
      <c r="D2" t="s">
        <v>279</v>
      </c>
      <c r="E2" s="82">
        <f>+C2/D6</f>
        <v>283.08715792697518</v>
      </c>
    </row>
    <row r="4" spans="1:7" ht="17" x14ac:dyDescent="0.2">
      <c r="A4" s="68" t="s">
        <v>7</v>
      </c>
      <c r="B4" s="76" t="s">
        <v>268</v>
      </c>
      <c r="C4" s="76" t="s">
        <v>269</v>
      </c>
      <c r="D4" s="76" t="s">
        <v>270</v>
      </c>
      <c r="E4" s="76" t="s">
        <v>276</v>
      </c>
      <c r="F4" s="76" t="s">
        <v>271</v>
      </c>
      <c r="G4" s="76" t="s">
        <v>272</v>
      </c>
    </row>
    <row r="5" spans="1:7" x14ac:dyDescent="0.2">
      <c r="A5" s="71" t="s">
        <v>13</v>
      </c>
      <c r="B5" s="72">
        <f>+MAX('Proceso 1'!CJ8,'Proceso 1'!CJ14,'Proceso 1'!CJ20,'Proceso 1'!CJ26,'Proceso 1'!CJ32,'Proceso 1'!CJ38)</f>
        <v>8400000</v>
      </c>
      <c r="C5" s="72">
        <f>+MIN('Proceso 1'!CK8,'Proceso 1'!CK14,'Proceso 1'!CK20,'Proceso 1'!CK26,'Proceso 1'!CK32,'Proceso 1'!CK38)</f>
        <v>1290000</v>
      </c>
      <c r="D5" s="72">
        <f>+AVERAGE('Proceso 1'!CL8,'Proceso 1'!CL14,'Proceso 1'!CL20,'Proceso 1'!CL26,'Proceso 1'!CL32,'Proceso 1'!CL38)</f>
        <v>3271286.8656755798</v>
      </c>
      <c r="E5" s="72">
        <f>+MAX('Proceso 1'!CM8,'Proceso 1'!CM14,'Proceso 1'!CM20,'Proceso 1'!CM26,'Proceso 1'!CM32,'Proceso 1'!CM38)</f>
        <v>2987428.1648191507</v>
      </c>
      <c r="F5" s="72">
        <f>+MEDIAN('Proceso 1'!CN8,'Proceso 1'!CN14,'Proceso 1'!CN20,'Proceso 1'!CN26,'Proceso 1'!CN32,'Proceso 1'!CN38)</f>
        <v>2888722.5</v>
      </c>
      <c r="G5" s="86" t="str">
        <f>IFERROR(MODE('Proceso 1'!CO8,'Proceso 1'!CO14,'Proceso 1'!CO20,'Proceso 1'!CO26,'Proceso 1'!CO32,'Proceso 1'!CO38),"N/A")</f>
        <v>N/A</v>
      </c>
    </row>
    <row r="6" spans="1:7" x14ac:dyDescent="0.2">
      <c r="A6" s="80" t="s">
        <v>15</v>
      </c>
      <c r="B6" s="72">
        <f>+MAX('Proceso 1'!CJ9,'Proceso 1'!CJ15,'Proceso 1'!CJ21,'Proceso 1'!CJ27,'Proceso 1'!CJ33,'Proceso 1'!CJ39)</f>
        <v>7725000</v>
      </c>
      <c r="C6" s="72">
        <f>+MIN('Proceso 1'!CK9,'Proceso 1'!CK15,'Proceso 1'!CK21,'Proceso 1'!CK27,'Proceso 1'!CK33,'Proceso 1'!CK39)</f>
        <v>1165000</v>
      </c>
      <c r="D6" s="79">
        <f>+AVERAGE('Proceso 1'!CL9,'Proceso 1'!CL15,'Proceso 1'!CL21,'Proceso 1'!CL27,'Proceso 1'!CL33,'Proceso 1'!CL39)</f>
        <v>3052063.5634869612</v>
      </c>
      <c r="E6" s="72">
        <f>+MAX('Proceso 1'!CM9,'Proceso 1'!CM15,'Proceso 1'!CM21,'Proceso 1'!CM27,'Proceso 1'!CM33,'Proceso 1'!CM39)</f>
        <v>2806858.7794689061</v>
      </c>
      <c r="F6" s="72">
        <f>+MEDIAN('Proceso 1'!CN9,'Proceso 1'!CN15,'Proceso 1'!CN21,'Proceso 1'!CN27,'Proceso 1'!CN33,'Proceso 1'!CN39)</f>
        <v>2760460</v>
      </c>
      <c r="G6" s="86" t="str">
        <f>IFERROR(MODE('Proceso 1'!CO9,'Proceso 1'!CO15,'Proceso 1'!CO21,'Proceso 1'!CO27,'Proceso 1'!CO33,'Proceso 1'!CO39),"N/A")</f>
        <v>N/A</v>
      </c>
    </row>
    <row r="7" spans="1:7" x14ac:dyDescent="0.2">
      <c r="A7" s="71" t="s">
        <v>17</v>
      </c>
      <c r="B7" s="72">
        <f>+MAX('Proceso 1'!CJ10,'Proceso 1'!CJ16,'Proceso 1'!CJ22,'Proceso 1'!CJ28,'Proceso 1'!CJ34,'Proceso 1'!CJ40)</f>
        <v>7350000</v>
      </c>
      <c r="C7" s="72">
        <f>+MIN('Proceso 1'!CK10,'Proceso 1'!CK16,'Proceso 1'!CK22,'Proceso 1'!CK28,'Proceso 1'!CK34,'Proceso 1'!CK40)</f>
        <v>1150000</v>
      </c>
      <c r="D7" s="72">
        <f>+AVERAGE('Proceso 1'!CL10,'Proceso 1'!CL16,'Proceso 1'!CL22,'Proceso 1'!CL28,'Proceso 1'!CL34,'Proceso 1'!CL40)</f>
        <v>2922996.6747325207</v>
      </c>
      <c r="E7" s="72">
        <f>+MAX('Proceso 1'!CM10,'Proceso 1'!CM16,'Proceso 1'!CM22,'Proceso 1'!CM28,'Proceso 1'!CM34,'Proceso 1'!CM40)</f>
        <v>2690509.4761843528</v>
      </c>
      <c r="F7" s="72">
        <f>+MEDIAN('Proceso 1'!CN10,'Proceso 1'!CN16,'Proceso 1'!CN22,'Proceso 1'!CN28,'Proceso 1'!CN34,'Proceso 1'!CN40)</f>
        <v>2677782.5</v>
      </c>
      <c r="G7" s="86" t="str">
        <f>IFERROR(MODE('Proceso 1'!CO10,'Proceso 1'!CO16,'Proceso 1'!CO22,'Proceso 1'!CO28,'Proceso 1'!CO34,'Proceso 1'!CO40),"N/A")</f>
        <v>N/A</v>
      </c>
    </row>
    <row r="8" spans="1:7" x14ac:dyDescent="0.2">
      <c r="A8" s="71" t="s">
        <v>19</v>
      </c>
      <c r="B8" s="72">
        <f>+MAX('Proceso 1'!CJ11,'Proceso 1'!CJ17,'Proceso 1'!CJ23,'Proceso 1'!CJ29,'Proceso 1'!CJ35,'Proceso 1'!CJ41)</f>
        <v>6790000</v>
      </c>
      <c r="C8" s="72">
        <f>+MIN('Proceso 1'!CK11,'Proceso 1'!CK17,'Proceso 1'!CK23,'Proceso 1'!CK29,'Proceso 1'!CK35,'Proceso 1'!CK41)</f>
        <v>1150000</v>
      </c>
      <c r="D8" s="72">
        <f>+AVERAGE('Proceso 1'!CL11,'Proceso 1'!CL17,'Proceso 1'!CL23,'Proceso 1'!CL29,'Proceso 1'!CL35,'Proceso 1'!CL41)</f>
        <v>2692108.7063998845</v>
      </c>
      <c r="E8" s="72">
        <f>+MAX('Proceso 1'!CM11,'Proceso 1'!CM17,'Proceso 1'!CM23,'Proceso 1'!CM29,'Proceso 1'!CM35,'Proceso 1'!CM41)</f>
        <v>2466939.9108276544</v>
      </c>
      <c r="F8" s="72">
        <f>+MEDIAN('Proceso 1'!CN11,'Proceso 1'!CN17,'Proceso 1'!CN23,'Proceso 1'!CN29,'Proceso 1'!CN35,'Proceso 1'!CN41)</f>
        <v>2441322.2222222192</v>
      </c>
      <c r="G8" s="72">
        <f>IFERROR(MODE('Proceso 1'!CO11,'Proceso 1'!CO17,'Proceso 1'!CO23,'Proceso 1'!CO29,'Proceso 1'!CO35,'Proceso 1'!CO41),"N/A")</f>
        <v>3000000</v>
      </c>
    </row>
    <row r="10" spans="1:7" x14ac:dyDescent="0.2">
      <c r="A10" s="77" t="s">
        <v>277</v>
      </c>
      <c r="B10" t="s">
        <v>278</v>
      </c>
      <c r="C10" s="81">
        <v>3057732458</v>
      </c>
      <c r="D10" t="s">
        <v>279</v>
      </c>
      <c r="E10" s="82">
        <f>+C10/D14</f>
        <v>1250.298679924063</v>
      </c>
    </row>
    <row r="12" spans="1:7" ht="17" x14ac:dyDescent="0.2">
      <c r="A12" s="68" t="s">
        <v>7</v>
      </c>
      <c r="B12" s="76" t="s">
        <v>268</v>
      </c>
      <c r="C12" s="76" t="s">
        <v>269</v>
      </c>
      <c r="D12" s="76" t="s">
        <v>270</v>
      </c>
      <c r="E12" s="76" t="s">
        <v>276</v>
      </c>
      <c r="F12" s="76" t="s">
        <v>271</v>
      </c>
      <c r="G12" s="76" t="s">
        <v>272</v>
      </c>
    </row>
    <row r="13" spans="1:7" x14ac:dyDescent="0.2">
      <c r="A13" s="71" t="s">
        <v>56</v>
      </c>
      <c r="B13" s="72">
        <f>+MAX('Proceso 2'!CX8,'Proceso 2'!CX14,'Proceso 2'!CX20,'Proceso 2'!CX26,'Proceso 2'!CX32,'Proceso 2'!CX38)</f>
        <v>7350000</v>
      </c>
      <c r="C13" s="72">
        <f>+MIN('Proceso 2'!CY8,'Proceso 2'!CY14,'Proceso 2'!CY20,'Proceso 2'!CY26,'Proceso 2'!CY32,'Proceso 2'!CY38)</f>
        <v>448600</v>
      </c>
      <c r="D13" s="72">
        <f>+AVERAGE('Proceso 2'!CZ8,'Proceso 2'!CZ14,'Proceso 2'!CZ20,'Proceso 2'!CZ26,'Proceso 2'!CZ32,'Proceso 2'!CZ38)</f>
        <v>2878698.8016427513</v>
      </c>
      <c r="E13" s="72">
        <f>+MAX('Proceso 2'!DA8,'Proceso 2'!DA14,'Proceso 2'!DA20,'Proceso 2'!DA26,'Proceso 2'!DA32,'Proceso 2'!DA38)</f>
        <v>2742874.6482701628</v>
      </c>
      <c r="F13" s="72">
        <f>+MEDIAN('Proceso 2'!DB8,'Proceso 2'!DB14,'Proceso 2'!DB20,'Proceso 2'!DB26,'Proceso 2'!DB32,'Proceso 2'!DB38)</f>
        <v>2655000</v>
      </c>
      <c r="G13" s="86" t="str">
        <f>IFERROR(MODE('Proceso 2'!DC8,'Proceso 2'!DC14,'Proceso 2'!DC20,'Proceso 2'!DC26,'Proceso 2'!DC32,'Proceso 2'!DC38),"N/A")</f>
        <v>N/A</v>
      </c>
    </row>
    <row r="14" spans="1:7" x14ac:dyDescent="0.2">
      <c r="A14" s="80" t="s">
        <v>59</v>
      </c>
      <c r="B14" s="72">
        <f>+MAX('Proceso 2'!CX9,'Proceso 2'!CX15,'Proceso 2'!CX21,'Proceso 2'!CX27,'Proceso 2'!CX33,'Proceso 2'!CX39)</f>
        <v>5950000</v>
      </c>
      <c r="C14" s="72">
        <f>+MIN('Proceso 2'!CY9,'Proceso 2'!CY15,'Proceso 2'!CY21,'Proceso 2'!CY27,'Proceso 2'!CY33,'Proceso 2'!CY39)</f>
        <v>425300</v>
      </c>
      <c r="D14" s="79">
        <f>+AVERAGE('Proceso 2'!CZ9,'Proceso 2'!CZ15,'Proceso 2'!CZ21,'Proceso 2'!CZ27,'Proceso 2'!CZ33,'Proceso 2'!CZ39)</f>
        <v>2445601.6047187313</v>
      </c>
      <c r="E14" s="72">
        <f>+MAX('Proceso 2'!DA9,'Proceso 2'!DA15,'Proceso 2'!DA21,'Proceso 2'!DA27,'Proceso 2'!DA33,'Proceso 2'!DA39)</f>
        <v>2348956.0229136776</v>
      </c>
      <c r="F14" s="72">
        <f>+MEDIAN('Proceso 2'!DB9,'Proceso 2'!DB15,'Proceso 2'!DB21,'Proceso 2'!DB27,'Proceso 2'!DB33,'Proceso 2'!DB39)</f>
        <v>2200000</v>
      </c>
      <c r="G14" s="86" t="str">
        <f>IFERROR(MODE('Proceso 2'!DC9,'Proceso 2'!DC15,'Proceso 2'!DC21,'Proceso 2'!DC27,'Proceso 2'!DC33,'Proceso 2'!DC39),"N/A")</f>
        <v>N/A</v>
      </c>
    </row>
    <row r="15" spans="1:7" x14ac:dyDescent="0.2">
      <c r="A15" s="71" t="s">
        <v>62</v>
      </c>
      <c r="B15" s="72">
        <f>+MAX('Proceso 2'!CX10,'Proceso 2'!CX16,'Proceso 2'!CX22,'Proceso 2'!CX28,'Proceso 2'!CX34,'Proceso 2'!CX40)</f>
        <v>5760000</v>
      </c>
      <c r="C15" s="72">
        <f>+MIN('Proceso 2'!CY10,'Proceso 2'!CY16,'Proceso 2'!CY22,'Proceso 2'!CY28,'Proceso 2'!CY34,'Proceso 2'!CY40)</f>
        <v>408600</v>
      </c>
      <c r="D15" s="72">
        <f>+AVERAGE('Proceso 2'!CZ10,'Proceso 2'!CZ16,'Proceso 2'!CZ22,'Proceso 2'!CZ28,'Proceso 2'!CZ34,'Proceso 2'!CZ40)</f>
        <v>2321357.3683965448</v>
      </c>
      <c r="E15" s="72">
        <f>+MAX('Proceso 2'!DA10,'Proceso 2'!DA16,'Proceso 2'!DA22,'Proceso 2'!DA28,'Proceso 2'!DA34,'Proceso 2'!DA40)</f>
        <v>2218165.2969437824</v>
      </c>
      <c r="F15" s="72">
        <f>+MEDIAN('Proceso 2'!DB10,'Proceso 2'!DB16,'Proceso 2'!DB22,'Proceso 2'!DB28,'Proceso 2'!DB34,'Proceso 2'!DB40)</f>
        <v>2000000</v>
      </c>
      <c r="G15" s="72">
        <f>IFERROR(MODE('Proceso 2'!DC10,'Proceso 2'!DC16,'Proceso 2'!DC22,'Proceso 2'!DC28,'Proceso 2'!DC34,'Proceso 2'!DC40),"N/A")</f>
        <v>2000000</v>
      </c>
    </row>
    <row r="16" spans="1:7" x14ac:dyDescent="0.2">
      <c r="A16" s="71" t="s">
        <v>65</v>
      </c>
      <c r="B16" s="72">
        <f>+MAX('Proceso 2'!CX11,'Proceso 2'!CX17,'Proceso 2'!CX23,'Proceso 2'!CX29,'Proceso 2'!CX35,'Proceso 2'!CX41)</f>
        <v>5700000</v>
      </c>
      <c r="C16" s="72">
        <f>+MIN('Proceso 2'!CY11,'Proceso 2'!CY17,'Proceso 2'!CY23,'Proceso 2'!CY29,'Proceso 2'!CY35,'Proceso 2'!CY41)</f>
        <v>678614.25716189202</v>
      </c>
      <c r="D16" s="72">
        <f>+AVERAGE('Proceso 2'!CZ11,'Proceso 2'!CZ17,'Proceso 2'!CZ23,'Proceso 2'!CZ29,'Proceso 2'!CZ35,'Proceso 2'!CZ41)</f>
        <v>2436957.2069492619</v>
      </c>
      <c r="E16" s="72">
        <f>+MAX('Proceso 2'!DA11,'Proceso 2'!DA17,'Proceso 2'!DA23,'Proceso 2'!DA29,'Proceso 2'!DA35,'Proceso 2'!DA41)</f>
        <v>2323217.5094766938</v>
      </c>
      <c r="F16" s="72">
        <f>+MEDIAN('Proceso 2'!DB11,'Proceso 2'!DB17,'Proceso 2'!DB23,'Proceso 2'!DB29,'Proceso 2'!DB35,'Proceso 2'!DB41)</f>
        <v>2160000</v>
      </c>
      <c r="G16" s="86" t="str">
        <f>IFERROR(MODE('Proceso 2'!DC11,'Proceso 2'!DC17,'Proceso 2'!DC23,'Proceso 2'!DC29,'Proceso 2'!DC35,'Proceso 2'!DC41),"N/A")</f>
        <v>N/A</v>
      </c>
    </row>
    <row r="18" spans="1:10" x14ac:dyDescent="0.2">
      <c r="A18" s="77" t="s">
        <v>277</v>
      </c>
      <c r="B18" t="s">
        <v>278</v>
      </c>
      <c r="C18" s="81">
        <v>4812500000</v>
      </c>
      <c r="D18" t="s">
        <v>279</v>
      </c>
      <c r="E18" s="82">
        <f>+C18/D21</f>
        <v>1631.5429496226607</v>
      </c>
      <c r="J18" s="87"/>
    </row>
    <row r="19" spans="1:10" x14ac:dyDescent="0.2">
      <c r="A19" s="78"/>
    </row>
    <row r="20" spans="1:10" ht="17" x14ac:dyDescent="0.2">
      <c r="A20" s="68" t="s">
        <v>7</v>
      </c>
      <c r="B20" s="76" t="s">
        <v>268</v>
      </c>
      <c r="C20" s="76" t="s">
        <v>269</v>
      </c>
      <c r="D20" s="76" t="s">
        <v>270</v>
      </c>
      <c r="E20" s="76" t="s">
        <v>276</v>
      </c>
      <c r="F20" s="76" t="s">
        <v>271</v>
      </c>
      <c r="G20" s="76" t="s">
        <v>272</v>
      </c>
    </row>
    <row r="21" spans="1:10" x14ac:dyDescent="0.2">
      <c r="A21" s="80" t="s">
        <v>96</v>
      </c>
      <c r="B21" s="72">
        <f>+MAX('Proceso 3'!DL8,'Proceso 3'!DL14,'Proceso 3'!DL20,'Proceso 3'!DL26,'Proceso 3'!DL32,'Proceso 3'!DL38,'Proceso 3'!DL44,'Proceso 3'!DL50,'Proceso 3'!DL56,'Proceso 3'!DL62,'Proceso 3'!DL68,'Proceso 3'!DL74)</f>
        <v>6790000</v>
      </c>
      <c r="C21" s="72">
        <f>+MIN('Proceso 3'!DM8,'Proceso 3'!DM14,'Proceso 3'!DM20,'Proceso 3'!DM26,'Proceso 3'!DM32,'Proceso 3'!DM38,'Proceso 3'!DM44,'Proceso 3'!DM50,'Proceso 3'!DM56,'Proceso 3'!DM62,'Proceso 3'!DM68,'Proceso 3'!DM74)</f>
        <v>1101000</v>
      </c>
      <c r="D21" s="79">
        <f>+AVERAGE('Proceso 3'!DN8,'Proceso 3'!DN14,'Proceso 3'!DN20,'Proceso 3'!DN26,'Proceso 3'!DN32,'Proceso 3'!DN38,'Proceso 3'!DN44,'Proceso 3'!DN50,'Proceso 3'!DN56,'Proceso 3'!DN62,'Proceso 3'!DN68,'Proceso 3'!DN74)</f>
        <v>2949661.852979735</v>
      </c>
      <c r="E21" s="72">
        <f>+MAX('Proceso 3'!DO8,'Proceso 3'!DO14,'Proceso 3'!DO20,'Proceso 3'!DO26,'Proceso 3'!DO32,'Proceso 3'!DO38,'Proceso 3'!DO44,'Proceso 3'!DO50,'Proceso 3'!DO56,'Proceso 3'!DO62,'Proceso 3'!DO68,'Proceso 3'!DO74)</f>
        <v>3050403.3913168488</v>
      </c>
      <c r="F21" s="72">
        <f>+MEDIAN('Proceso 3'!DP8,'Proceso 3'!DP14,'Proceso 3'!DP20,'Proceso 3'!DP26,'Proceso 3'!DP32,'Proceso 3'!DP38,'Proceso 3'!DP44,'Proceso 3'!DP50,'Proceso 3'!DP56,'Proceso 3'!DP62,'Proceso 3'!DP68,'Proceso 3'!DP74)</f>
        <v>2717001.4285714286</v>
      </c>
      <c r="G21" s="72">
        <f>IFERROR(MODE('Proceso 3'!DQ8,'Proceso 3'!DQ14,'Proceso 3'!DQ20,'Proceso 3'!DQ26,'Proceso 3'!DQ32,'Proceso 3'!DQ38,'Proceso 3'!DQ44,'Proceso 3'!DQ50,'Proceso 3'!DQ56,'Proceso 3'!DQ62,'Proceso 3'!DQ68,'Proceso 3'!DQ74),"N/A")</f>
        <v>3000000</v>
      </c>
    </row>
    <row r="22" spans="1:10" x14ac:dyDescent="0.2">
      <c r="A22" s="71" t="s">
        <v>98</v>
      </c>
      <c r="B22" s="72">
        <f>+MAX('Proceso 3'!DL9,'Proceso 3'!DL15,'Proceso 3'!DL21,'Proceso 3'!DL27,'Proceso 3'!DL33,'Proceso 3'!DL39,'Proceso 3'!DL45,'Proceso 3'!DL51,'Proceso 3'!DL57,'Proceso 3'!DL63,'Proceso 3'!DL69,'Proceso 3'!DL75)</f>
        <v>5800000</v>
      </c>
      <c r="C22" s="72">
        <f>+MIN('Proceso 3'!DM9,'Proceso 3'!DM15,'Proceso 3'!DM21,'Proceso 3'!DM27,'Proceso 3'!DM33,'Proceso 3'!DM39,'Proceso 3'!DM45,'Proceso 3'!DM51,'Proceso 3'!DM57,'Proceso 3'!DM63,'Proceso 3'!DM69,'Proceso 3'!DM75)</f>
        <v>998000</v>
      </c>
      <c r="D22" s="72">
        <f>+AVERAGE('Proceso 3'!DN9,'Proceso 3'!DN15,'Proceso 3'!DN21,'Proceso 3'!DN27,'Proceso 3'!DN33,'Proceso 3'!DN39,'Proceso 3'!DN45,'Proceso 3'!DN51,'Proceso 3'!DN57,'Proceso 3'!DN63,'Proceso 3'!DN69,'Proceso 3'!DN75)</f>
        <v>2620231.5173704526</v>
      </c>
      <c r="E22" s="72">
        <f>+MAX('Proceso 3'!DO9,'Proceso 3'!DO15,'Proceso 3'!DO21,'Proceso 3'!DO27,'Proceso 3'!DO33,'Proceso 3'!DO39,'Proceso 3'!DO45,'Proceso 3'!DO51,'Proceso 3'!DO57,'Proceso 3'!DO63,'Proceso 3'!DO69,'Proceso 3'!DO75)</f>
        <v>2746676.7495393297</v>
      </c>
      <c r="F22" s="72">
        <f>+MEDIAN('Proceso 3'!DP9,'Proceso 3'!DP15,'Proceso 3'!DP21,'Proceso 3'!DP27,'Proceso 3'!DP33,'Proceso 3'!DP39,'Proceso 3'!DP45,'Proceso 3'!DP51,'Proceso 3'!DP57,'Proceso 3'!DP63,'Proceso 3'!DP69,'Proceso 3'!DP75)</f>
        <v>2615679</v>
      </c>
      <c r="G22" s="86" t="str">
        <f>IFERROR(MODE('Proceso 3'!DQ9,'Proceso 3'!DQ15,'Proceso 3'!DQ21,'Proceso 3'!DQ27,'Proceso 3'!DQ33,'Proceso 3'!DQ39,'Proceso 3'!DQ45,'Proceso 3'!DQ51,'Proceso 3'!DQ57,'Proceso 3'!DQ63,'Proceso 3'!DQ69,'Proceso 3'!DQ75),"N/A")</f>
        <v>N/A</v>
      </c>
    </row>
    <row r="23" spans="1:10" x14ac:dyDescent="0.2">
      <c r="A23" s="71" t="s">
        <v>100</v>
      </c>
      <c r="B23" s="72">
        <f>+MAX('Proceso 3'!DL10,'Proceso 3'!DL16,'Proceso 3'!DL22,'Proceso 3'!DL28,'Proceso 3'!DL34,'Proceso 3'!DL40,'Proceso 3'!DL46,'Proceso 3'!DL52,'Proceso 3'!DL58,'Proceso 3'!DL64,'Proceso 3'!DL70,'Proceso 3'!DL76)</f>
        <v>5800000</v>
      </c>
      <c r="C23" s="72">
        <f>+MIN('Proceso 3'!DM10,'Proceso 3'!DM16,'Proceso 3'!DM22,'Proceso 3'!DM28,'Proceso 3'!DM34,'Proceso 3'!DM40,'Proceso 3'!DM46,'Proceso 3'!DM52,'Proceso 3'!DM58,'Proceso 3'!DM64,'Proceso 3'!DM70,'Proceso 3'!DM76)</f>
        <v>724500</v>
      </c>
      <c r="D23" s="72">
        <f>+AVERAGE('Proceso 3'!DN10,'Proceso 3'!DN16,'Proceso 3'!DN22,'Proceso 3'!DN28,'Proceso 3'!DN34,'Proceso 3'!DN40,'Proceso 3'!DN46,'Proceso 3'!DN52,'Proceso 3'!DN58,'Proceso 3'!DN64,'Proceso 3'!DN70,'Proceso 3'!DN76)</f>
        <v>2552788.0809615538</v>
      </c>
      <c r="E23" s="72">
        <f>+MAX('Proceso 3'!DO10,'Proceso 3'!DO16,'Proceso 3'!DO22,'Proceso 3'!DO28,'Proceso 3'!DO34,'Proceso 3'!DO40,'Proceso 3'!DO46,'Proceso 3'!DO52,'Proceso 3'!DO58,'Proceso 3'!DO64,'Proceso 3'!DO70,'Proceso 3'!DO76)</f>
        <v>2690583.3375425446</v>
      </c>
      <c r="F23" s="72">
        <f>+MEDIAN('Proceso 3'!DP10,'Proceso 3'!DP16,'Proceso 3'!DP22,'Proceso 3'!DP28,'Proceso 3'!DP34,'Proceso 3'!DP40,'Proceso 3'!DP46,'Proceso 3'!DP52,'Proceso 3'!DP58,'Proceso 3'!DP64,'Proceso 3'!DP70,'Proceso 3'!DP76)</f>
        <v>2470000</v>
      </c>
      <c r="G23" s="86" t="str">
        <f>IFERROR(MODE('Proceso 3'!DQ10,'Proceso 3'!DQ16,'Proceso 3'!DQ22,'Proceso 3'!DQ28,'Proceso 3'!DQ34,'Proceso 3'!DQ40,'Proceso 3'!DQ46,'Proceso 3'!DQ52,'Proceso 3'!DQ58,'Proceso 3'!DQ64,'Proceso 3'!DQ70,'Proceso 3'!DQ76),"N/A")</f>
        <v>N/A</v>
      </c>
    </row>
    <row r="24" spans="1:10" x14ac:dyDescent="0.2">
      <c r="A24" s="71" t="s">
        <v>102</v>
      </c>
      <c r="B24" s="72">
        <f>+MAX('Proceso 3'!DL11,'Proceso 3'!DL17,'Proceso 3'!DL23,'Proceso 3'!DL29,'Proceso 3'!DL35,'Proceso 3'!DL41,'Proceso 3'!DL47,'Proceso 3'!DL53,'Proceso 3'!DL59,'Proceso 3'!DL65,'Proceso 3'!DL71,'Proceso 3'!DL77)</f>
        <v>5700000</v>
      </c>
      <c r="C24" s="72">
        <f>+MIN('Proceso 3'!DM11,'Proceso 3'!DM17,'Proceso 3'!DM23,'Proceso 3'!DM29,'Proceso 3'!DM35,'Proceso 3'!DM41,'Proceso 3'!DM47,'Proceso 3'!DM53,'Proceso 3'!DM59,'Proceso 3'!DM65,'Proceso 3'!DM71,'Proceso 3'!DM77)</f>
        <v>724137.93103448278</v>
      </c>
      <c r="D24" s="72">
        <f>+AVERAGE('Proceso 3'!DN11,'Proceso 3'!DN17,'Proceso 3'!DN23,'Proceso 3'!DN29,'Proceso 3'!DN35,'Proceso 3'!DN41,'Proceso 3'!DN47,'Proceso 3'!DN53,'Proceso 3'!DN59,'Proceso 3'!DN65,'Proceso 3'!DN71,'Proceso 3'!DN77)</f>
        <v>2489637.652769045</v>
      </c>
      <c r="E24" s="72">
        <f>+MAX('Proceso 3'!DO11,'Proceso 3'!DO17,'Proceso 3'!DO23,'Proceso 3'!DO29,'Proceso 3'!DO35,'Proceso 3'!DO41,'Proceso 3'!DO47,'Proceso 3'!DO53,'Proceso 3'!DO59,'Proceso 3'!DO65,'Proceso 3'!DO71,'Proceso 3'!DO77)</f>
        <v>2626530.1620936836</v>
      </c>
      <c r="F24" s="72">
        <f>+MEDIAN('Proceso 3'!DP11,'Proceso 3'!DP17,'Proceso 3'!DP23,'Proceso 3'!DP29,'Proceso 3'!DP35,'Proceso 3'!DP41,'Proceso 3'!DP47,'Proceso 3'!DP53,'Proceso 3'!DP59,'Proceso 3'!DP65,'Proceso 3'!DP71,'Proceso 3'!DP77)</f>
        <v>2400000</v>
      </c>
      <c r="G24" s="86" t="str">
        <f>+IFERROR(MODE('Proceso 3'!DQ11,'Proceso 3'!DQ17,'Proceso 3'!DQ23,'Proceso 3'!DQ29,'Proceso 3'!DQ35,'Proceso 3'!DQ41,'Proceso 3'!DQ47,'Proceso 3'!DQ53,'Proceso 3'!DQ59,'Proceso 3'!DQ65,'Proceso 3'!DQ71,'Proceso 3'!DQ77),"N/A")</f>
        <v>N/A</v>
      </c>
    </row>
    <row r="30" spans="1:10" x14ac:dyDescent="0.2">
      <c r="G30" s="87"/>
    </row>
  </sheetData>
  <sheetProtection algorithmName="SHA-512" hashValue="tq4n43iODzXgqj4/C6uGKRd63jdNdfoE4t3anCkmxR4okOaFfJFf4c1KWlHcaJogAP0AUyoq9MYnii+4W8L5Dg==" saltValue="ShkocYT4GQZine3G0Kt3o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7A60C55BB91C54CBF9944EC52ABE473" ma:contentTypeVersion="16" ma:contentTypeDescription="Crear nuevo documento." ma:contentTypeScope="" ma:versionID="c188e2032aa150df72c7d60529db490b">
  <xsd:schema xmlns:xsd="http://www.w3.org/2001/XMLSchema" xmlns:xs="http://www.w3.org/2001/XMLSchema" xmlns:p="http://schemas.microsoft.com/office/2006/metadata/properties" xmlns:ns2="dca0c8df-5a4f-4cf2-9904-35ead706d706" xmlns:ns3="088e3bd2-b56c-43a0-b8a9-e0fb12425dda" targetNamespace="http://schemas.microsoft.com/office/2006/metadata/properties" ma:root="true" ma:fieldsID="7b3de0cbad3696589466c13e96cc4d2b" ns2:_="" ns3:_="">
    <xsd:import namespace="dca0c8df-5a4f-4cf2-9904-35ead706d706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Detall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0c8df-5a4f-4cf2-9904-35ead706d7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etalle" ma:index="23" nillable="true" ma:displayName="Detalle " ma:format="Dropdown" ma:internalName="Detall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Detalle xmlns="dca0c8df-5a4f-4cf2-9904-35ead706d706" xsi:nil="true"/>
    <lcf76f155ced4ddcb4097134ff3c332f xmlns="dca0c8df-5a4f-4cf2-9904-35ead706d70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6DC644-A9DF-468E-B765-755BB194E9CD}"/>
</file>

<file path=customXml/itemProps2.xml><?xml version="1.0" encoding="utf-8"?>
<ds:datastoreItem xmlns:ds="http://schemas.openxmlformats.org/officeDocument/2006/customXml" ds:itemID="{DAAF82FB-346E-4ADA-AFEB-6B701287151F}"/>
</file>

<file path=customXml/itemProps3.xml><?xml version="1.0" encoding="utf-8"?>
<ds:datastoreItem xmlns:ds="http://schemas.openxmlformats.org/officeDocument/2006/customXml" ds:itemID="{3FD43C06-6667-4780-93BE-C468C46019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Proceso 1</vt:lpstr>
      <vt:lpstr>Proceso 2</vt:lpstr>
      <vt:lpstr>Proceso 3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Leonardo Orjuela Calderon</dc:creator>
  <cp:lastModifiedBy>David Leonardo Orjuela Calderón</cp:lastModifiedBy>
  <dcterms:created xsi:type="dcterms:W3CDTF">2025-02-03T15:48:38Z</dcterms:created>
  <dcterms:modified xsi:type="dcterms:W3CDTF">2025-02-20T02:33:23Z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0x010100A7A60C55BB91C54CBF9944EC52ABE473</vt:lpwstr>
  </property>
</Properties>
</file>